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Datos\Planes de Desarrollo Regional_PDR\mejillón\CENTER\CENTER III\"/>
    </mc:Choice>
  </mc:AlternateContent>
  <bookViews>
    <workbookView xWindow="0" yWindow="0" windowWidth="28800" windowHeight="10500" activeTab="3"/>
  </bookViews>
  <sheets>
    <sheet name="DATOS-TODOS" sheetId="13" r:id="rId1"/>
    <sheet name="DN300 PN10_Center III" sheetId="22" r:id="rId2"/>
    <sheet name="Graf Vel-Rug Abs DN300_C III" sheetId="34" r:id="rId3"/>
    <sheet name="Graf Hf-Rug AbsDN300_C III" sheetId="35" r:id="rId4"/>
    <sheet name="Teoría" sheetId="1" r:id="rId5"/>
  </sheets>
  <definedNames>
    <definedName name="_xlnm._FilterDatabase" localSheetId="0" hidden="1">'DATOS-TODOS'!$A$3:$G$137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T35" i="22" l="1"/>
  <c r="AT34" i="22"/>
  <c r="BJ32" i="22"/>
  <c r="BJ31" i="22"/>
  <c r="BJ29" i="22"/>
  <c r="BJ28" i="22"/>
  <c r="BJ26" i="22"/>
  <c r="BJ25" i="22"/>
  <c r="BJ16" i="22"/>
  <c r="BJ13" i="22"/>
  <c r="BJ10" i="22"/>
  <c r="BI16" i="22"/>
  <c r="BH16" i="22"/>
  <c r="X82" i="22"/>
  <c r="X81" i="22"/>
  <c r="BI13" i="22"/>
  <c r="BH13" i="22"/>
  <c r="BI10" i="22"/>
  <c r="BH10" i="22"/>
  <c r="AT59" i="22"/>
  <c r="AT58" i="22"/>
  <c r="AM59" i="22"/>
  <c r="AM58" i="22"/>
  <c r="AE58" i="22"/>
  <c r="AE57" i="22"/>
  <c r="X58" i="22"/>
  <c r="X57" i="22"/>
  <c r="X35" i="22"/>
  <c r="X34" i="22"/>
  <c r="AE35" i="22"/>
  <c r="AE34" i="22"/>
  <c r="F5" i="13" l="1"/>
  <c r="F6" i="13"/>
  <c r="F7" i="13"/>
  <c r="F8" i="13"/>
  <c r="F50" i="13"/>
  <c r="F51" i="13"/>
  <c r="F52" i="13"/>
  <c r="F53" i="13"/>
  <c r="F54" i="13"/>
  <c r="F60" i="13"/>
  <c r="F61" i="13"/>
  <c r="F62" i="13"/>
  <c r="F63" i="13"/>
  <c r="F64" i="13"/>
  <c r="F70" i="13"/>
  <c r="F71" i="13"/>
  <c r="F72" i="13"/>
  <c r="F73" i="13"/>
  <c r="F74" i="13"/>
  <c r="F128" i="13"/>
  <c r="F129" i="13"/>
  <c r="F130" i="13"/>
  <c r="F131" i="13"/>
  <c r="F132" i="13"/>
  <c r="F133" i="13"/>
  <c r="F134" i="13"/>
  <c r="F135" i="13"/>
  <c r="F136" i="13"/>
  <c r="F137" i="13"/>
  <c r="F4" i="13"/>
  <c r="N5" i="13"/>
  <c r="N6" i="13"/>
  <c r="N7" i="13"/>
  <c r="N8" i="13"/>
  <c r="N9" i="13"/>
  <c r="N10" i="13"/>
  <c r="N11" i="13"/>
  <c r="N12" i="13"/>
  <c r="N13" i="13"/>
  <c r="N14" i="13"/>
  <c r="N20" i="13"/>
  <c r="N21" i="13"/>
  <c r="N22" i="13"/>
  <c r="N23" i="13"/>
  <c r="N24" i="13"/>
  <c r="N30" i="13"/>
  <c r="N31" i="13"/>
  <c r="N32" i="13"/>
  <c r="N33" i="13"/>
  <c r="N34" i="13"/>
  <c r="N50" i="13"/>
  <c r="N51" i="13"/>
  <c r="N52" i="13"/>
  <c r="N53" i="13"/>
  <c r="N54" i="13"/>
  <c r="N55" i="13"/>
  <c r="N56" i="13"/>
  <c r="N57" i="13"/>
  <c r="N58" i="13"/>
  <c r="N59" i="13"/>
  <c r="N60" i="13"/>
  <c r="N61" i="13"/>
  <c r="N62" i="13"/>
  <c r="N63" i="13"/>
  <c r="N64" i="13"/>
  <c r="N65" i="13"/>
  <c r="N66" i="13"/>
  <c r="N67" i="13"/>
  <c r="N68" i="13"/>
  <c r="N69" i="13"/>
  <c r="N70" i="13"/>
  <c r="N71" i="13"/>
  <c r="N72" i="13"/>
  <c r="N73" i="13"/>
  <c r="N74" i="13"/>
  <c r="N75" i="13"/>
  <c r="N76" i="13"/>
  <c r="N77" i="13"/>
  <c r="N78" i="13"/>
  <c r="N79" i="13"/>
  <c r="N89" i="13"/>
  <c r="N90" i="13"/>
  <c r="N91" i="13"/>
  <c r="N92" i="13"/>
  <c r="N93" i="13"/>
  <c r="N94" i="13"/>
  <c r="N95" i="13"/>
  <c r="N96" i="13"/>
  <c r="N97" i="13"/>
  <c r="N98" i="13"/>
  <c r="N99" i="13"/>
  <c r="N100" i="13"/>
  <c r="N101" i="13"/>
  <c r="N102" i="13"/>
  <c r="N103" i="13"/>
  <c r="N104" i="13"/>
  <c r="N105" i="13"/>
  <c r="N106" i="13"/>
  <c r="N107" i="13"/>
  <c r="N108" i="13"/>
  <c r="N109" i="13"/>
  <c r="N110" i="13"/>
  <c r="N111" i="13"/>
  <c r="N112" i="13"/>
  <c r="N113" i="13"/>
  <c r="N114" i="13"/>
  <c r="N115" i="13"/>
  <c r="N116" i="13"/>
  <c r="N117" i="13"/>
  <c r="N118" i="13"/>
  <c r="N4" i="13"/>
  <c r="U11" i="13"/>
  <c r="U12" i="13"/>
  <c r="U13" i="13"/>
  <c r="U14" i="13"/>
  <c r="U15" i="13"/>
  <c r="U16" i="13"/>
  <c r="U17" i="13"/>
  <c r="U18" i="13"/>
  <c r="U19" i="13"/>
  <c r="U20" i="13"/>
  <c r="U21" i="13"/>
  <c r="U22" i="13"/>
  <c r="U23" i="13"/>
  <c r="U24" i="13"/>
  <c r="U25" i="13"/>
  <c r="U26" i="13"/>
  <c r="U27" i="13"/>
  <c r="U28" i="13"/>
  <c r="U29" i="13"/>
  <c r="U30" i="13"/>
  <c r="U31" i="13"/>
  <c r="U32" i="13"/>
  <c r="U33" i="13"/>
  <c r="U34" i="13"/>
  <c r="U35" i="13"/>
  <c r="U36" i="13"/>
  <c r="U37" i="13"/>
  <c r="U38" i="13"/>
  <c r="U39" i="13"/>
  <c r="U50" i="13"/>
  <c r="U51" i="13"/>
  <c r="U52" i="13"/>
  <c r="U53" i="13"/>
  <c r="U54" i="13"/>
  <c r="U55" i="13"/>
  <c r="U56" i="13"/>
  <c r="U57" i="13"/>
  <c r="U58" i="13"/>
  <c r="U59" i="13"/>
  <c r="U60" i="13"/>
  <c r="U61" i="13"/>
  <c r="U62" i="13"/>
  <c r="U63" i="13"/>
  <c r="U64" i="13"/>
  <c r="U65" i="13"/>
  <c r="U66" i="13"/>
  <c r="U67" i="13"/>
  <c r="U68" i="13"/>
  <c r="U69" i="13"/>
  <c r="U70" i="13"/>
  <c r="U71" i="13"/>
  <c r="U72" i="13"/>
  <c r="U73" i="13"/>
  <c r="U74" i="13"/>
  <c r="U75" i="13"/>
  <c r="U76" i="13"/>
  <c r="U77" i="13"/>
  <c r="U78" i="13"/>
  <c r="U79" i="13"/>
  <c r="U89" i="13"/>
  <c r="U90" i="13"/>
  <c r="U91" i="13"/>
  <c r="U92" i="13"/>
  <c r="U93" i="13"/>
  <c r="U94" i="13"/>
  <c r="U95" i="13"/>
  <c r="U96" i="13"/>
  <c r="U97" i="13"/>
  <c r="U98" i="13"/>
  <c r="U99" i="13"/>
  <c r="U100" i="13"/>
  <c r="U101" i="13"/>
  <c r="U102" i="13"/>
  <c r="U103" i="13"/>
  <c r="U104" i="13"/>
  <c r="U105" i="13"/>
  <c r="U106" i="13"/>
  <c r="U107" i="13"/>
  <c r="U108" i="13"/>
  <c r="U109" i="13"/>
  <c r="U110" i="13"/>
  <c r="U111" i="13"/>
  <c r="U112" i="13"/>
  <c r="U113" i="13"/>
  <c r="U114" i="13"/>
  <c r="U115" i="13"/>
  <c r="U116" i="13"/>
  <c r="U117" i="13"/>
  <c r="U118" i="13"/>
  <c r="U10" i="13"/>
  <c r="AB90" i="13"/>
  <c r="AB91" i="13"/>
  <c r="AB92" i="13"/>
  <c r="AB93" i="13"/>
  <c r="AB94" i="13"/>
  <c r="AB95" i="13"/>
  <c r="AB96" i="13"/>
  <c r="AB97" i="13"/>
  <c r="AB98" i="13"/>
  <c r="AB99" i="13"/>
  <c r="AB100" i="13"/>
  <c r="AB101" i="13"/>
  <c r="AB102" i="13"/>
  <c r="AB103" i="13"/>
  <c r="AB104" i="13"/>
  <c r="AB105" i="13"/>
  <c r="AB106" i="13"/>
  <c r="AB107" i="13"/>
  <c r="AB108" i="13"/>
  <c r="AB109" i="13"/>
  <c r="AB110" i="13"/>
  <c r="AB111" i="13"/>
  <c r="AB112" i="13"/>
  <c r="AB113" i="13"/>
  <c r="AB114" i="13"/>
  <c r="AB115" i="13"/>
  <c r="AB116" i="13"/>
  <c r="AB117" i="13"/>
  <c r="AB118" i="13"/>
  <c r="AB89" i="13"/>
  <c r="AP21" i="13"/>
  <c r="AP22" i="13"/>
  <c r="AP23" i="13"/>
  <c r="AP24" i="13"/>
  <c r="AP25" i="13"/>
  <c r="AP26" i="13"/>
  <c r="AP27" i="13"/>
  <c r="AP28" i="13"/>
  <c r="AP30" i="13"/>
  <c r="AP31" i="13"/>
  <c r="AP32" i="13"/>
  <c r="AP33" i="13"/>
  <c r="AP34" i="13"/>
  <c r="AP35" i="13"/>
  <c r="AP36" i="13"/>
  <c r="AP37" i="13"/>
  <c r="AP38" i="13"/>
  <c r="AP50" i="13"/>
  <c r="AP51" i="13"/>
  <c r="AP52" i="13"/>
  <c r="AP53" i="13"/>
  <c r="AP54" i="13"/>
  <c r="AP55" i="13"/>
  <c r="AP56" i="13"/>
  <c r="AP57" i="13"/>
  <c r="AP58" i="13"/>
  <c r="AP60" i="13"/>
  <c r="AP61" i="13"/>
  <c r="AP62" i="13"/>
  <c r="AP63" i="13"/>
  <c r="AP64" i="13"/>
  <c r="AP65" i="13"/>
  <c r="AP66" i="13"/>
  <c r="AP67" i="13"/>
  <c r="AP80" i="13"/>
  <c r="AP81" i="13"/>
  <c r="AP82" i="13"/>
  <c r="AP83" i="13"/>
  <c r="AP84" i="13"/>
  <c r="AP85" i="13"/>
  <c r="AP86" i="13"/>
  <c r="AP87" i="13"/>
  <c r="AP88" i="13"/>
  <c r="AP89" i="13"/>
  <c r="AP90" i="13"/>
  <c r="AP91" i="13"/>
  <c r="AP92" i="13"/>
  <c r="AP93" i="13"/>
  <c r="AP94" i="13"/>
  <c r="AP95" i="13"/>
  <c r="AP96" i="13"/>
  <c r="AP20" i="13"/>
  <c r="AM83" i="22" l="1"/>
  <c r="AM82" i="22"/>
  <c r="BG47" i="22" l="1"/>
  <c r="BG48" i="22"/>
  <c r="BG46" i="22"/>
  <c r="BG38" i="22"/>
  <c r="BG39" i="22"/>
  <c r="BG40" i="22"/>
  <c r="BG41" i="22"/>
  <c r="BG42" i="22"/>
  <c r="BG43" i="22"/>
  <c r="BG44" i="22"/>
  <c r="BG45" i="22"/>
  <c r="BG37" i="22"/>
  <c r="BG25" i="22"/>
  <c r="BG9" i="22"/>
  <c r="BB4" i="22"/>
  <c r="BC4" i="22" s="1"/>
  <c r="AY4" i="22" s="1"/>
  <c r="BB3" i="22"/>
  <c r="BC3" i="22" s="1"/>
  <c r="AY3" i="22" s="1"/>
  <c r="AZ44" i="22"/>
  <c r="BD39" i="22" s="1"/>
  <c r="AZ42" i="22"/>
  <c r="AZ43" i="22" s="1"/>
  <c r="BA39" i="22"/>
  <c r="AZ37" i="22"/>
  <c r="BG26" i="22"/>
  <c r="BG27" i="22"/>
  <c r="BG28" i="22"/>
  <c r="BG29" i="22"/>
  <c r="BG30" i="22"/>
  <c r="BG31" i="22"/>
  <c r="BG32" i="22"/>
  <c r="BG33" i="22"/>
  <c r="AZ25" i="22"/>
  <c r="AZ32" i="22"/>
  <c r="BD26" i="22" s="1"/>
  <c r="AZ30" i="22"/>
  <c r="AZ31" i="22" s="1"/>
  <c r="BA27" i="22"/>
  <c r="BF26" i="22" l="1"/>
  <c r="BE39" i="22"/>
  <c r="BF39" i="22"/>
  <c r="BD37" i="22"/>
  <c r="BF37" i="22" s="1"/>
  <c r="BD38" i="22"/>
  <c r="BF38" i="22" s="1"/>
  <c r="BD25" i="22"/>
  <c r="BF25" i="22" s="1"/>
  <c r="BD46" i="22"/>
  <c r="BD27" i="22"/>
  <c r="BD28" i="22"/>
  <c r="BD32" i="22"/>
  <c r="BD30" i="22"/>
  <c r="BD42" i="22"/>
  <c r="BD29" i="22"/>
  <c r="BF29" i="22" s="1"/>
  <c r="BD41" i="22"/>
  <c r="BF41" i="22" s="1"/>
  <c r="BD44" i="22"/>
  <c r="BF44" i="22" s="1"/>
  <c r="BD40" i="22"/>
  <c r="BF40" i="22" s="1"/>
  <c r="BD31" i="22"/>
  <c r="BD43" i="22"/>
  <c r="BF43" i="22" s="1"/>
  <c r="BD48" i="22"/>
  <c r="BD33" i="22"/>
  <c r="BD45" i="22"/>
  <c r="BD47" i="22"/>
  <c r="BE41" i="22"/>
  <c r="BE38" i="22"/>
  <c r="BE37" i="22"/>
  <c r="BE43" i="22"/>
  <c r="BE29" i="22"/>
  <c r="BE26" i="22"/>
  <c r="BF46" i="22" l="1"/>
  <c r="BE46" i="22"/>
  <c r="BF27" i="22"/>
  <c r="BE27" i="22"/>
  <c r="BE42" i="22"/>
  <c r="BF42" i="22"/>
  <c r="BE30" i="22"/>
  <c r="BF30" i="22"/>
  <c r="BE44" i="22"/>
  <c r="BF47" i="22"/>
  <c r="BE47" i="22"/>
  <c r="BE33" i="22"/>
  <c r="BF33" i="22"/>
  <c r="BE25" i="22"/>
  <c r="BE32" i="22"/>
  <c r="BF32" i="22"/>
  <c r="BE45" i="22"/>
  <c r="BF45" i="22"/>
  <c r="BE48" i="22"/>
  <c r="BF48" i="22"/>
  <c r="BE40" i="22"/>
  <c r="BE31" i="22"/>
  <c r="BF31" i="22"/>
  <c r="BE28" i="22"/>
  <c r="BF28" i="22"/>
  <c r="BA11" i="22"/>
  <c r="B58" i="22" l="1"/>
  <c r="B57" i="22"/>
  <c r="AF110" i="13" l="1"/>
  <c r="AH110" i="13"/>
  <c r="AF111" i="13"/>
  <c r="AH111" i="13"/>
  <c r="AF112" i="13"/>
  <c r="AH112" i="13"/>
  <c r="AF115" i="13"/>
  <c r="AH115" i="13"/>
  <c r="AF116" i="13"/>
  <c r="AH116" i="13"/>
  <c r="AF117" i="13"/>
  <c r="AH117" i="13"/>
  <c r="AF118" i="13"/>
  <c r="AH118" i="13"/>
  <c r="AF119" i="13"/>
  <c r="AH119" i="13"/>
  <c r="AF120" i="13"/>
  <c r="AH120" i="13"/>
  <c r="AF121" i="13"/>
  <c r="AH121" i="13"/>
  <c r="AF122" i="13"/>
  <c r="AH122" i="13"/>
  <c r="AF123" i="13"/>
  <c r="AH123" i="13"/>
  <c r="AF124" i="13"/>
  <c r="AH124" i="13"/>
  <c r="AF125" i="13"/>
  <c r="AH125" i="13"/>
  <c r="AF126" i="13"/>
  <c r="AH126" i="13"/>
  <c r="AF71" i="13"/>
  <c r="AH71" i="13"/>
  <c r="AF72" i="13"/>
  <c r="AH72" i="13"/>
  <c r="AF73" i="13"/>
  <c r="AH73" i="13"/>
  <c r="AF74" i="13"/>
  <c r="AH74" i="13"/>
  <c r="AF75" i="13"/>
  <c r="AH75" i="13"/>
  <c r="AF76" i="13"/>
  <c r="AH76" i="13"/>
  <c r="AF77" i="13"/>
  <c r="AH77" i="13"/>
  <c r="AF78" i="13"/>
  <c r="AH78" i="13"/>
  <c r="AF79" i="13"/>
  <c r="AH79" i="13"/>
  <c r="AF80" i="13"/>
  <c r="AH80" i="13"/>
  <c r="AF81" i="13"/>
  <c r="AH81" i="13"/>
  <c r="AF82" i="13"/>
  <c r="AH82" i="13"/>
  <c r="AF83" i="13"/>
  <c r="AH83" i="13"/>
  <c r="AF84" i="13"/>
  <c r="AH84" i="13"/>
  <c r="AF85" i="13"/>
  <c r="AH85" i="13"/>
  <c r="AF86" i="13"/>
  <c r="AH86" i="13"/>
  <c r="AF87" i="13"/>
  <c r="AH87" i="13"/>
  <c r="AF88" i="13"/>
  <c r="AH88" i="13"/>
  <c r="AF31" i="13"/>
  <c r="AH31" i="13"/>
  <c r="AF34" i="13"/>
  <c r="AH34" i="13"/>
  <c r="AF35" i="13"/>
  <c r="AH35" i="13"/>
  <c r="AF38" i="13"/>
  <c r="AH38" i="13"/>
  <c r="AF39" i="13"/>
  <c r="AH39" i="13"/>
  <c r="AF40" i="13"/>
  <c r="AH40" i="13"/>
  <c r="AF41" i="13"/>
  <c r="AH41" i="13"/>
  <c r="AF42" i="13"/>
  <c r="AH42" i="13"/>
  <c r="AF43" i="13"/>
  <c r="AH43" i="13"/>
  <c r="AF44" i="13"/>
  <c r="AH44" i="13"/>
  <c r="AF45" i="13"/>
  <c r="AH45" i="13"/>
  <c r="AF46" i="13"/>
  <c r="AH46" i="13"/>
  <c r="AF47" i="13"/>
  <c r="AH47" i="13"/>
  <c r="AF48" i="13"/>
  <c r="AH48" i="13"/>
  <c r="AF49" i="13"/>
  <c r="AH49" i="13"/>
  <c r="B22" i="22"/>
  <c r="H22" i="22" s="1"/>
  <c r="Q22" i="22"/>
  <c r="V22" i="22" s="1"/>
  <c r="AF22" i="22"/>
  <c r="AK22" i="22" s="1"/>
  <c r="B23" i="22"/>
  <c r="H23" i="22" s="1"/>
  <c r="Q23" i="22"/>
  <c r="V23" i="22" s="1"/>
  <c r="AF23" i="22"/>
  <c r="AK23" i="22" s="1"/>
  <c r="B24" i="22"/>
  <c r="G24" i="22" s="1"/>
  <c r="Q24" i="22"/>
  <c r="V24" i="22" s="1"/>
  <c r="AF24" i="22"/>
  <c r="AE42" i="13" s="1"/>
  <c r="AI42" i="13" s="1"/>
  <c r="B25" i="22"/>
  <c r="G25" i="22" s="1"/>
  <c r="Q25" i="22"/>
  <c r="V25" i="22" s="1"/>
  <c r="AF25" i="22"/>
  <c r="AL25" i="22" s="1"/>
  <c r="AG43" i="13" s="1"/>
  <c r="B26" i="22"/>
  <c r="Q26" i="22"/>
  <c r="AF26" i="22"/>
  <c r="AK26" i="22" s="1"/>
  <c r="B27" i="22"/>
  <c r="G27" i="22" s="1"/>
  <c r="Q27" i="22"/>
  <c r="V27" i="22" s="1"/>
  <c r="AF27" i="22"/>
  <c r="AK27" i="22" s="1"/>
  <c r="B28" i="22"/>
  <c r="G28" i="22" s="1"/>
  <c r="Q28" i="22"/>
  <c r="V28" i="22" s="1"/>
  <c r="AF28" i="22"/>
  <c r="AE46" i="13" s="1"/>
  <c r="AI46" i="13" s="1"/>
  <c r="B29" i="22"/>
  <c r="H29" i="22" s="1"/>
  <c r="I29" i="22" s="1"/>
  <c r="Q29" i="22"/>
  <c r="V29" i="22" s="1"/>
  <c r="AF29" i="22"/>
  <c r="AL29" i="22" s="1"/>
  <c r="AG47" i="13" s="1"/>
  <c r="B30" i="22"/>
  <c r="Q30" i="22"/>
  <c r="AF30" i="22"/>
  <c r="AE48" i="13" s="1"/>
  <c r="AI48" i="13" s="1"/>
  <c r="B31" i="22"/>
  <c r="Q31" i="22"/>
  <c r="AF31" i="22"/>
  <c r="AK31" i="22" s="1"/>
  <c r="B32" i="22"/>
  <c r="Q32" i="22"/>
  <c r="AF32" i="22"/>
  <c r="B33" i="22"/>
  <c r="Q33" i="22"/>
  <c r="AF33" i="22"/>
  <c r="AF57" i="22"/>
  <c r="AL57" i="22" s="1"/>
  <c r="AN57" i="22" s="1"/>
  <c r="AO57" i="22" s="1"/>
  <c r="AP57" i="22" s="1"/>
  <c r="AQ57" i="22" s="1"/>
  <c r="AR57" i="22" s="1"/>
  <c r="B52" i="22"/>
  <c r="Q52" i="22"/>
  <c r="W52" i="22" s="1"/>
  <c r="AF52" i="22"/>
  <c r="AK52" i="22" s="1"/>
  <c r="B53" i="22"/>
  <c r="Q53" i="22"/>
  <c r="V53" i="22" s="1"/>
  <c r="AF53" i="22"/>
  <c r="AL53" i="22" s="1"/>
  <c r="AG84" i="13" s="1"/>
  <c r="B54" i="22"/>
  <c r="AF54" i="22"/>
  <c r="AK54" i="22" s="1"/>
  <c r="B48" i="22"/>
  <c r="Q48" i="22"/>
  <c r="V48" i="22" s="1"/>
  <c r="AF48" i="22"/>
  <c r="AK48" i="22" s="1"/>
  <c r="B49" i="22"/>
  <c r="Q49" i="22"/>
  <c r="V49" i="22" s="1"/>
  <c r="AF49" i="22"/>
  <c r="AL49" i="22" s="1"/>
  <c r="AM49" i="22" s="1"/>
  <c r="AJ80" i="13" s="1"/>
  <c r="B50" i="22"/>
  <c r="Q50" i="22"/>
  <c r="W50" i="22" s="1"/>
  <c r="AF50" i="22"/>
  <c r="AK50" i="22" s="1"/>
  <c r="B51" i="22"/>
  <c r="Q51" i="22"/>
  <c r="V51" i="22" s="1"/>
  <c r="AF51" i="22"/>
  <c r="AL51" i="22" s="1"/>
  <c r="AM51" i="22" s="1"/>
  <c r="AJ82" i="13" s="1"/>
  <c r="B55" i="22"/>
  <c r="AF55" i="22"/>
  <c r="AK55" i="22" s="1"/>
  <c r="AF81" i="22"/>
  <c r="B73" i="22"/>
  <c r="G73" i="22" s="1"/>
  <c r="Q73" i="22"/>
  <c r="V73" i="22" s="1"/>
  <c r="AF73" i="22"/>
  <c r="AL73" i="22" s="1"/>
  <c r="AG119" i="13" s="1"/>
  <c r="B74" i="22"/>
  <c r="G74" i="22" s="1"/>
  <c r="Q74" i="22"/>
  <c r="W74" i="22" s="1"/>
  <c r="Y74" i="22" s="1"/>
  <c r="Z74" i="22" s="1"/>
  <c r="AA74" i="22" s="1"/>
  <c r="AB74" i="22" s="1"/>
  <c r="AC74" i="22" s="1"/>
  <c r="AF74" i="22"/>
  <c r="AK74" i="22" s="1"/>
  <c r="B75" i="22"/>
  <c r="H75" i="22" s="1"/>
  <c r="Q75" i="22"/>
  <c r="V75" i="22" s="1"/>
  <c r="AF75" i="22"/>
  <c r="AL75" i="22" s="1"/>
  <c r="AG121" i="13" s="1"/>
  <c r="B76" i="22"/>
  <c r="G76" i="22" s="1"/>
  <c r="Q76" i="22"/>
  <c r="W76" i="22" s="1"/>
  <c r="AF76" i="22"/>
  <c r="AK76" i="22" s="1"/>
  <c r="B77" i="22"/>
  <c r="G77" i="22" s="1"/>
  <c r="Q77" i="22"/>
  <c r="V77" i="22" s="1"/>
  <c r="AF77" i="22"/>
  <c r="AK77" i="22" s="1"/>
  <c r="B78" i="22"/>
  <c r="G78" i="22" s="1"/>
  <c r="Q78" i="22"/>
  <c r="W78" i="22" s="1"/>
  <c r="AF78" i="22"/>
  <c r="AK78" i="22" s="1"/>
  <c r="B79" i="22"/>
  <c r="H79" i="22" s="1"/>
  <c r="Q79" i="22"/>
  <c r="V79" i="22" s="1"/>
  <c r="AF79" i="22"/>
  <c r="AL79" i="22" s="1"/>
  <c r="AG125" i="13" s="1"/>
  <c r="B80" i="22"/>
  <c r="G80" i="22" s="1"/>
  <c r="Q80" i="22"/>
  <c r="V80" i="22" s="1"/>
  <c r="AF80" i="22"/>
  <c r="AK80" i="22" s="1"/>
  <c r="AL80" i="22"/>
  <c r="AM80" i="22" s="1"/>
  <c r="AJ126" i="13" s="1"/>
  <c r="V74" i="22" l="1"/>
  <c r="AK75" i="22"/>
  <c r="W75" i="22"/>
  <c r="X75" i="22" s="1"/>
  <c r="W73" i="22"/>
  <c r="X73" i="22" s="1"/>
  <c r="AD74" i="22"/>
  <c r="AE74" i="22" s="1"/>
  <c r="G29" i="22"/>
  <c r="AL26" i="22"/>
  <c r="AN26" i="22" s="1"/>
  <c r="AO26" i="22" s="1"/>
  <c r="AP26" i="22" s="1"/>
  <c r="AQ26" i="22" s="1"/>
  <c r="AR26" i="22" s="1"/>
  <c r="AS26" i="22" s="1"/>
  <c r="AT26" i="22" s="1"/>
  <c r="AL76" i="22"/>
  <c r="AM76" i="22" s="1"/>
  <c r="AJ122" i="13" s="1"/>
  <c r="AE81" i="13"/>
  <c r="AI81" i="13" s="1"/>
  <c r="W25" i="22"/>
  <c r="X25" i="22" s="1"/>
  <c r="AE124" i="13"/>
  <c r="AI124" i="13" s="1"/>
  <c r="AE119" i="13"/>
  <c r="AI119" i="13" s="1"/>
  <c r="W79" i="22"/>
  <c r="AE121" i="13"/>
  <c r="AI121" i="13" s="1"/>
  <c r="AE126" i="13"/>
  <c r="AI126" i="13" s="1"/>
  <c r="AE123" i="13"/>
  <c r="AI123" i="13" s="1"/>
  <c r="W80" i="22"/>
  <c r="G22" i="22"/>
  <c r="AE82" i="13"/>
  <c r="AI82" i="13" s="1"/>
  <c r="AE79" i="13"/>
  <c r="AI79" i="13" s="1"/>
  <c r="V78" i="22"/>
  <c r="V76" i="22"/>
  <c r="AE85" i="13"/>
  <c r="AI85" i="13" s="1"/>
  <c r="AE125" i="13"/>
  <c r="AI125" i="13" s="1"/>
  <c r="AE120" i="13"/>
  <c r="AI120" i="13" s="1"/>
  <c r="AE88" i="13"/>
  <c r="AI88" i="13" s="1"/>
  <c r="AE122" i="13"/>
  <c r="AI122" i="13" s="1"/>
  <c r="X74" i="22"/>
  <c r="AG126" i="13"/>
  <c r="AG80" i="13"/>
  <c r="G51" i="22"/>
  <c r="H51" i="22"/>
  <c r="I51" i="22" s="1"/>
  <c r="G49" i="22"/>
  <c r="H49" i="22"/>
  <c r="I49" i="22" s="1"/>
  <c r="G52" i="22"/>
  <c r="H52" i="22"/>
  <c r="I52" i="22" s="1"/>
  <c r="W29" i="22"/>
  <c r="W28" i="22"/>
  <c r="X28" i="22" s="1"/>
  <c r="AL24" i="22"/>
  <c r="AM24" i="22" s="1"/>
  <c r="AJ42" i="13" s="1"/>
  <c r="AE40" i="13"/>
  <c r="AI40" i="13" s="1"/>
  <c r="AG88" i="13"/>
  <c r="AG82" i="13"/>
  <c r="AE84" i="13"/>
  <c r="AI84" i="13" s="1"/>
  <c r="AK24" i="22"/>
  <c r="H50" i="22"/>
  <c r="I50" i="22" s="1"/>
  <c r="G50" i="22"/>
  <c r="H48" i="22"/>
  <c r="G48" i="22"/>
  <c r="AL27" i="22"/>
  <c r="AG45" i="13" s="1"/>
  <c r="G53" i="22"/>
  <c r="H53" i="22"/>
  <c r="I53" i="22" s="1"/>
  <c r="AE80" i="13"/>
  <c r="AI80" i="13" s="1"/>
  <c r="AE86" i="13"/>
  <c r="AI86" i="13" s="1"/>
  <c r="AE83" i="13"/>
  <c r="AI83" i="13" s="1"/>
  <c r="W49" i="22"/>
  <c r="V52" i="22"/>
  <c r="AK28" i="22"/>
  <c r="J29" i="22"/>
  <c r="K29" i="22" s="1"/>
  <c r="L29" i="22" s="1"/>
  <c r="M29" i="22" s="1"/>
  <c r="N29" i="22" s="1"/>
  <c r="O29" i="22" s="1"/>
  <c r="P29" i="22" s="1"/>
  <c r="H28" i="22"/>
  <c r="H27" i="22"/>
  <c r="H25" i="22"/>
  <c r="H24" i="22"/>
  <c r="J23" i="22"/>
  <c r="K23" i="22" s="1"/>
  <c r="L23" i="22" s="1"/>
  <c r="M23" i="22" s="1"/>
  <c r="N23" i="22" s="1"/>
  <c r="I23" i="22"/>
  <c r="G23" i="22"/>
  <c r="AE49" i="13"/>
  <c r="AI49" i="13" s="1"/>
  <c r="AL30" i="22"/>
  <c r="AK30" i="22"/>
  <c r="AE47" i="13"/>
  <c r="AI47" i="13" s="1"/>
  <c r="AK29" i="22"/>
  <c r="AL28" i="22"/>
  <c r="AE45" i="13"/>
  <c r="AI45" i="13" s="1"/>
  <c r="AE44" i="13"/>
  <c r="AI44" i="13" s="1"/>
  <c r="AE43" i="13"/>
  <c r="AI43" i="13" s="1"/>
  <c r="AK25" i="22"/>
  <c r="AL23" i="22"/>
  <c r="AE41" i="13"/>
  <c r="AI41" i="13" s="1"/>
  <c r="AL22" i="22"/>
  <c r="AM29" i="22"/>
  <c r="AJ47" i="13" s="1"/>
  <c r="AN29" i="22"/>
  <c r="AO29" i="22" s="1"/>
  <c r="AP29" i="22" s="1"/>
  <c r="AQ29" i="22" s="1"/>
  <c r="AR29" i="22" s="1"/>
  <c r="AM25" i="22"/>
  <c r="AJ43" i="13" s="1"/>
  <c r="AN25" i="22"/>
  <c r="AO25" i="22" s="1"/>
  <c r="AP25" i="22" s="1"/>
  <c r="AQ25" i="22" s="1"/>
  <c r="AR25" i="22" s="1"/>
  <c r="I22" i="22"/>
  <c r="J22" i="22"/>
  <c r="K22" i="22" s="1"/>
  <c r="L22" i="22" s="1"/>
  <c r="M22" i="22" s="1"/>
  <c r="N22" i="22" s="1"/>
  <c r="AL31" i="22"/>
  <c r="AG49" i="13" s="1"/>
  <c r="W22" i="22"/>
  <c r="Y28" i="22"/>
  <c r="Z28" i="22" s="1"/>
  <c r="AA28" i="22" s="1"/>
  <c r="AB28" i="22" s="1"/>
  <c r="AC28" i="22" s="1"/>
  <c r="AD28" i="22" s="1"/>
  <c r="AE28" i="22" s="1"/>
  <c r="W27" i="22"/>
  <c r="W23" i="22"/>
  <c r="W24" i="22"/>
  <c r="AK57" i="22"/>
  <c r="AS57" i="22" s="1"/>
  <c r="AT57" i="22" s="1"/>
  <c r="AM57" i="22"/>
  <c r="AJ88" i="13" s="1"/>
  <c r="AK53" i="22"/>
  <c r="AL52" i="22"/>
  <c r="AN52" i="22" s="1"/>
  <c r="AO52" i="22" s="1"/>
  <c r="AP52" i="22" s="1"/>
  <c r="AQ52" i="22" s="1"/>
  <c r="AR52" i="22" s="1"/>
  <c r="AS52" i="22" s="1"/>
  <c r="AT52" i="22" s="1"/>
  <c r="AK49" i="22"/>
  <c r="AN53" i="22"/>
  <c r="AO53" i="22" s="1"/>
  <c r="AP53" i="22" s="1"/>
  <c r="AQ53" i="22" s="1"/>
  <c r="AR53" i="22" s="1"/>
  <c r="AM53" i="22"/>
  <c r="Y52" i="22"/>
  <c r="Z52" i="22" s="1"/>
  <c r="AA52" i="22" s="1"/>
  <c r="AB52" i="22" s="1"/>
  <c r="AC52" i="22" s="1"/>
  <c r="X52" i="22"/>
  <c r="W53" i="22"/>
  <c r="AL54" i="22"/>
  <c r="AG85" i="13" s="1"/>
  <c r="G79" i="22"/>
  <c r="V50" i="22"/>
  <c r="AL48" i="22"/>
  <c r="AK51" i="22"/>
  <c r="Y50" i="22"/>
  <c r="Z50" i="22" s="1"/>
  <c r="AA50" i="22" s="1"/>
  <c r="AB50" i="22" s="1"/>
  <c r="AC50" i="22" s="1"/>
  <c r="X50" i="22"/>
  <c r="W51" i="22"/>
  <c r="X51" i="22" s="1"/>
  <c r="AN49" i="22"/>
  <c r="AO49" i="22" s="1"/>
  <c r="AP49" i="22" s="1"/>
  <c r="AQ49" i="22" s="1"/>
  <c r="AR49" i="22" s="1"/>
  <c r="AN51" i="22"/>
  <c r="AO51" i="22" s="1"/>
  <c r="AP51" i="22" s="1"/>
  <c r="AQ51" i="22" s="1"/>
  <c r="AR51" i="22" s="1"/>
  <c r="W48" i="22"/>
  <c r="AL55" i="22"/>
  <c r="AG86" i="13" s="1"/>
  <c r="AL50" i="22"/>
  <c r="AG81" i="13" s="1"/>
  <c r="H77" i="22"/>
  <c r="H78" i="22"/>
  <c r="I78" i="22" s="1"/>
  <c r="AN79" i="22"/>
  <c r="AO79" i="22" s="1"/>
  <c r="AP79" i="22" s="1"/>
  <c r="AQ79" i="22" s="1"/>
  <c r="AR79" i="22" s="1"/>
  <c r="AM79" i="22"/>
  <c r="AK79" i="22"/>
  <c r="AL78" i="22"/>
  <c r="AG124" i="13" s="1"/>
  <c r="AL77" i="22"/>
  <c r="AK73" i="22"/>
  <c r="H74" i="22"/>
  <c r="I74" i="22" s="1"/>
  <c r="I81" i="22" s="1"/>
  <c r="H76" i="22"/>
  <c r="I75" i="22"/>
  <c r="J75" i="22"/>
  <c r="K75" i="22" s="1"/>
  <c r="L75" i="22" s="1"/>
  <c r="M75" i="22" s="1"/>
  <c r="N75" i="22" s="1"/>
  <c r="G75" i="22"/>
  <c r="Y78" i="22"/>
  <c r="Z78" i="22" s="1"/>
  <c r="AA78" i="22" s="1"/>
  <c r="AB78" i="22" s="1"/>
  <c r="AC78" i="22" s="1"/>
  <c r="AM75" i="22"/>
  <c r="AJ121" i="13" s="1"/>
  <c r="AN75" i="22"/>
  <c r="AO75" i="22" s="1"/>
  <c r="AP75" i="22" s="1"/>
  <c r="AQ75" i="22" s="1"/>
  <c r="AR75" i="22" s="1"/>
  <c r="AS75" i="22" s="1"/>
  <c r="AT75" i="22" s="1"/>
  <c r="AM73" i="22"/>
  <c r="AJ119" i="13" s="1"/>
  <c r="AN73" i="22"/>
  <c r="AO73" i="22" s="1"/>
  <c r="AP73" i="22" s="1"/>
  <c r="AQ73" i="22" s="1"/>
  <c r="AR73" i="22" s="1"/>
  <c r="X76" i="22"/>
  <c r="Y76" i="22"/>
  <c r="Z76" i="22" s="1"/>
  <c r="AA76" i="22" s="1"/>
  <c r="AB76" i="22" s="1"/>
  <c r="AC76" i="22" s="1"/>
  <c r="I79" i="22"/>
  <c r="J79" i="22"/>
  <c r="K79" i="22" s="1"/>
  <c r="L79" i="22" s="1"/>
  <c r="M79" i="22" s="1"/>
  <c r="N79" i="22" s="1"/>
  <c r="H73" i="22"/>
  <c r="W77" i="22"/>
  <c r="Y75" i="22"/>
  <c r="Z75" i="22" s="1"/>
  <c r="AA75" i="22" s="1"/>
  <c r="AB75" i="22" s="1"/>
  <c r="AC75" i="22" s="1"/>
  <c r="AD75" i="22" s="1"/>
  <c r="AE75" i="22" s="1"/>
  <c r="AL74" i="22"/>
  <c r="AG120" i="13" s="1"/>
  <c r="AN80" i="22"/>
  <c r="AO80" i="22" s="1"/>
  <c r="AP80" i="22" s="1"/>
  <c r="AQ80" i="22" s="1"/>
  <c r="AR80" i="22" s="1"/>
  <c r="AS80" i="22" s="1"/>
  <c r="AT80" i="22" s="1"/>
  <c r="H80" i="22"/>
  <c r="AH109" i="13"/>
  <c r="AH98" i="13"/>
  <c r="AH97" i="13"/>
  <c r="AH96" i="13"/>
  <c r="AH95" i="13"/>
  <c r="AH94" i="13"/>
  <c r="AH93" i="13"/>
  <c r="AH92" i="13"/>
  <c r="AH91" i="13"/>
  <c r="AH90" i="13"/>
  <c r="AH89" i="13"/>
  <c r="AH70" i="13"/>
  <c r="AH58" i="13"/>
  <c r="AH57" i="13"/>
  <c r="AH56" i="13"/>
  <c r="AH55" i="13"/>
  <c r="AH54" i="13"/>
  <c r="AH53" i="13"/>
  <c r="AH52" i="13"/>
  <c r="AH51" i="13"/>
  <c r="AH50" i="13"/>
  <c r="AH30" i="13"/>
  <c r="AH19" i="13"/>
  <c r="AH18" i="13"/>
  <c r="AH17" i="13"/>
  <c r="AH16" i="13"/>
  <c r="AH13" i="13"/>
  <c r="AH12" i="13"/>
  <c r="AH11" i="13"/>
  <c r="AH10" i="13"/>
  <c r="AF10" i="13"/>
  <c r="AF11" i="13"/>
  <c r="AF12" i="13"/>
  <c r="AF13" i="13"/>
  <c r="AF16" i="13"/>
  <c r="AF17" i="13"/>
  <c r="AF18" i="13"/>
  <c r="AF19" i="13"/>
  <c r="AF30" i="13"/>
  <c r="AF50" i="13"/>
  <c r="AF51" i="13"/>
  <c r="AF52" i="13"/>
  <c r="AF53" i="13"/>
  <c r="AF54" i="13"/>
  <c r="AF55" i="13"/>
  <c r="AF56" i="13"/>
  <c r="AF57" i="13"/>
  <c r="AF58" i="13"/>
  <c r="AF70" i="13"/>
  <c r="AF89" i="13"/>
  <c r="AF90" i="13"/>
  <c r="AF91" i="13"/>
  <c r="AF92" i="13"/>
  <c r="AF93" i="13"/>
  <c r="AF94" i="13"/>
  <c r="AF95" i="13"/>
  <c r="AF96" i="13"/>
  <c r="AF97" i="13"/>
  <c r="AF98" i="13"/>
  <c r="AF109" i="13"/>
  <c r="AG44" i="13" l="1"/>
  <c r="AM26" i="22"/>
  <c r="O79" i="22"/>
  <c r="P79" i="22" s="1"/>
  <c r="AD78" i="22"/>
  <c r="AE78" i="22" s="1"/>
  <c r="AD76" i="22"/>
  <c r="AE76" i="22" s="1"/>
  <c r="AD50" i="22"/>
  <c r="AE50" i="22" s="1"/>
  <c r="AJ125" i="13"/>
  <c r="I59" i="22"/>
  <c r="I58" i="22"/>
  <c r="Y73" i="22"/>
  <c r="Z73" i="22" s="1"/>
  <c r="AA73" i="22" s="1"/>
  <c r="AB73" i="22" s="1"/>
  <c r="AC73" i="22" s="1"/>
  <c r="AD73" i="22" s="1"/>
  <c r="AE73" i="22" s="1"/>
  <c r="AN76" i="22"/>
  <c r="AO76" i="22" s="1"/>
  <c r="AP76" i="22" s="1"/>
  <c r="AQ76" i="22" s="1"/>
  <c r="AR76" i="22" s="1"/>
  <c r="AS76" i="22" s="1"/>
  <c r="AT76" i="22" s="1"/>
  <c r="AS73" i="22"/>
  <c r="AT73" i="22" s="1"/>
  <c r="Y25" i="22"/>
  <c r="Z25" i="22" s="1"/>
  <c r="AA25" i="22" s="1"/>
  <c r="AB25" i="22" s="1"/>
  <c r="AC25" i="22" s="1"/>
  <c r="AD25" i="22" s="1"/>
  <c r="AE25" i="22" s="1"/>
  <c r="AG122" i="13"/>
  <c r="AS25" i="22"/>
  <c r="AT25" i="22" s="1"/>
  <c r="AS53" i="22"/>
  <c r="AT53" i="22" s="1"/>
  <c r="O22" i="22"/>
  <c r="P22" i="22" s="1"/>
  <c r="AS29" i="22"/>
  <c r="AT29" i="22" s="1"/>
  <c r="Y79" i="22"/>
  <c r="Z79" i="22" s="1"/>
  <c r="AA79" i="22" s="1"/>
  <c r="AB79" i="22" s="1"/>
  <c r="AC79" i="22" s="1"/>
  <c r="AD79" i="22" s="1"/>
  <c r="AE79" i="22" s="1"/>
  <c r="Y80" i="22"/>
  <c r="Z80" i="22" s="1"/>
  <c r="AA80" i="22" s="1"/>
  <c r="AB80" i="22" s="1"/>
  <c r="AC80" i="22" s="1"/>
  <c r="AD80" i="22" s="1"/>
  <c r="AE80" i="22" s="1"/>
  <c r="AM77" i="22"/>
  <c r="AG123" i="13"/>
  <c r="AJ84" i="13"/>
  <c r="AJ44" i="13"/>
  <c r="AM52" i="22"/>
  <c r="AJ83" i="13" s="1"/>
  <c r="AG83" i="13"/>
  <c r="AN24" i="22"/>
  <c r="AO24" i="22" s="1"/>
  <c r="AP24" i="22" s="1"/>
  <c r="AQ24" i="22" s="1"/>
  <c r="AR24" i="22" s="1"/>
  <c r="AS24" i="22" s="1"/>
  <c r="AT24" i="22" s="1"/>
  <c r="AG42" i="13"/>
  <c r="AM27" i="22"/>
  <c r="AJ45" i="13" s="1"/>
  <c r="I48" i="22"/>
  <c r="J48" i="22"/>
  <c r="K48" i="22" s="1"/>
  <c r="L48" i="22" s="1"/>
  <c r="M48" i="22" s="1"/>
  <c r="N48" i="22" s="1"/>
  <c r="O48" i="22" s="1"/>
  <c r="P48" i="22" s="1"/>
  <c r="X29" i="22"/>
  <c r="Y29" i="22"/>
  <c r="Z29" i="22" s="1"/>
  <c r="AA29" i="22" s="1"/>
  <c r="AB29" i="22" s="1"/>
  <c r="AC29" i="22" s="1"/>
  <c r="AD29" i="22" s="1"/>
  <c r="AE29" i="22" s="1"/>
  <c r="AN27" i="22"/>
  <c r="AO27" i="22" s="1"/>
  <c r="AP27" i="22" s="1"/>
  <c r="AQ27" i="22" s="1"/>
  <c r="AR27" i="22" s="1"/>
  <c r="AS27" i="22" s="1"/>
  <c r="AT27" i="22" s="1"/>
  <c r="X49" i="22"/>
  <c r="Y49" i="22"/>
  <c r="Z49" i="22" s="1"/>
  <c r="AA49" i="22" s="1"/>
  <c r="AB49" i="22" s="1"/>
  <c r="AC49" i="22" s="1"/>
  <c r="AD49" i="22" s="1"/>
  <c r="AE49" i="22" s="1"/>
  <c r="AM48" i="22"/>
  <c r="AJ79" i="13" s="1"/>
  <c r="AG79" i="13"/>
  <c r="AD52" i="22"/>
  <c r="AE52" i="22" s="1"/>
  <c r="I28" i="22"/>
  <c r="J28" i="22"/>
  <c r="K28" i="22" s="1"/>
  <c r="L28" i="22" s="1"/>
  <c r="M28" i="22" s="1"/>
  <c r="N28" i="22" s="1"/>
  <c r="O28" i="22" s="1"/>
  <c r="P28" i="22" s="1"/>
  <c r="J27" i="22"/>
  <c r="K27" i="22" s="1"/>
  <c r="L27" i="22" s="1"/>
  <c r="M27" i="22" s="1"/>
  <c r="N27" i="22" s="1"/>
  <c r="O27" i="22" s="1"/>
  <c r="P27" i="22" s="1"/>
  <c r="I27" i="22"/>
  <c r="I34" i="22" s="1"/>
  <c r="I25" i="22"/>
  <c r="J25" i="22"/>
  <c r="K25" i="22" s="1"/>
  <c r="L25" i="22" s="1"/>
  <c r="M25" i="22" s="1"/>
  <c r="N25" i="22" s="1"/>
  <c r="O25" i="22" s="1"/>
  <c r="P25" i="22" s="1"/>
  <c r="I24" i="22"/>
  <c r="J24" i="22"/>
  <c r="K24" i="22" s="1"/>
  <c r="L24" i="22" s="1"/>
  <c r="M24" i="22" s="1"/>
  <c r="N24" i="22" s="1"/>
  <c r="O24" i="22" s="1"/>
  <c r="P24" i="22" s="1"/>
  <c r="O23" i="22"/>
  <c r="P23" i="22" s="1"/>
  <c r="AN30" i="22"/>
  <c r="AO30" i="22" s="1"/>
  <c r="AP30" i="22" s="1"/>
  <c r="AQ30" i="22" s="1"/>
  <c r="AR30" i="22" s="1"/>
  <c r="AS30" i="22" s="1"/>
  <c r="AT30" i="22" s="1"/>
  <c r="AG48" i="13"/>
  <c r="AM30" i="22"/>
  <c r="AJ48" i="13" s="1"/>
  <c r="AM28" i="22"/>
  <c r="AN28" i="22"/>
  <c r="AO28" i="22" s="1"/>
  <c r="AP28" i="22" s="1"/>
  <c r="AQ28" i="22" s="1"/>
  <c r="AR28" i="22" s="1"/>
  <c r="AS28" i="22" s="1"/>
  <c r="AT28" i="22" s="1"/>
  <c r="AG46" i="13"/>
  <c r="AM23" i="22"/>
  <c r="AJ41" i="13" s="1"/>
  <c r="AG41" i="13"/>
  <c r="AN23" i="22"/>
  <c r="AO23" i="22" s="1"/>
  <c r="AP23" i="22" s="1"/>
  <c r="AQ23" i="22" s="1"/>
  <c r="AR23" i="22" s="1"/>
  <c r="AS23" i="22" s="1"/>
  <c r="AT23" i="22" s="1"/>
  <c r="AN22" i="22"/>
  <c r="AO22" i="22" s="1"/>
  <c r="AP22" i="22" s="1"/>
  <c r="AQ22" i="22" s="1"/>
  <c r="AR22" i="22" s="1"/>
  <c r="AS22" i="22" s="1"/>
  <c r="AT22" i="22" s="1"/>
  <c r="AG40" i="13"/>
  <c r="AM22" i="22"/>
  <c r="AJ40" i="13" s="1"/>
  <c r="X23" i="22"/>
  <c r="Y23" i="22"/>
  <c r="Z23" i="22" s="1"/>
  <c r="AA23" i="22" s="1"/>
  <c r="AB23" i="22" s="1"/>
  <c r="AC23" i="22" s="1"/>
  <c r="AD23" i="22" s="1"/>
  <c r="AE23" i="22" s="1"/>
  <c r="X24" i="22"/>
  <c r="Y24" i="22"/>
  <c r="Z24" i="22" s="1"/>
  <c r="AA24" i="22" s="1"/>
  <c r="AB24" i="22" s="1"/>
  <c r="AC24" i="22" s="1"/>
  <c r="AD24" i="22" s="1"/>
  <c r="AE24" i="22" s="1"/>
  <c r="AN31" i="22"/>
  <c r="AO31" i="22" s="1"/>
  <c r="AP31" i="22" s="1"/>
  <c r="AQ31" i="22" s="1"/>
  <c r="AR31" i="22" s="1"/>
  <c r="AS31" i="22" s="1"/>
  <c r="AT31" i="22" s="1"/>
  <c r="AM31" i="22"/>
  <c r="AJ49" i="13" s="1"/>
  <c r="X22" i="22"/>
  <c r="Y22" i="22"/>
  <c r="Z22" i="22" s="1"/>
  <c r="AA22" i="22" s="1"/>
  <c r="AB22" i="22" s="1"/>
  <c r="AC22" i="22" s="1"/>
  <c r="AD22" i="22" s="1"/>
  <c r="AE22" i="22" s="1"/>
  <c r="X27" i="22"/>
  <c r="Y27" i="22"/>
  <c r="Z27" i="22" s="1"/>
  <c r="AA27" i="22" s="1"/>
  <c r="AB27" i="22" s="1"/>
  <c r="AC27" i="22" s="1"/>
  <c r="AD27" i="22" s="1"/>
  <c r="AE27" i="22" s="1"/>
  <c r="J53" i="22"/>
  <c r="K53" i="22" s="1"/>
  <c r="L53" i="22" s="1"/>
  <c r="M53" i="22" s="1"/>
  <c r="N53" i="22" s="1"/>
  <c r="O53" i="22" s="1"/>
  <c r="P53" i="22" s="1"/>
  <c r="AS49" i="22"/>
  <c r="AT49" i="22" s="1"/>
  <c r="AN48" i="22"/>
  <c r="AO48" i="22" s="1"/>
  <c r="AP48" i="22" s="1"/>
  <c r="AQ48" i="22" s="1"/>
  <c r="AR48" i="22" s="1"/>
  <c r="AS48" i="22" s="1"/>
  <c r="AT48" i="22" s="1"/>
  <c r="X53" i="22"/>
  <c r="Y53" i="22"/>
  <c r="Z53" i="22" s="1"/>
  <c r="AA53" i="22" s="1"/>
  <c r="AB53" i="22" s="1"/>
  <c r="AC53" i="22" s="1"/>
  <c r="AD53" i="22" s="1"/>
  <c r="AE53" i="22" s="1"/>
  <c r="AM54" i="22"/>
  <c r="AJ85" i="13" s="1"/>
  <c r="AN54" i="22"/>
  <c r="AO54" i="22" s="1"/>
  <c r="AP54" i="22" s="1"/>
  <c r="AQ54" i="22" s="1"/>
  <c r="AR54" i="22" s="1"/>
  <c r="AS54" i="22" s="1"/>
  <c r="AT54" i="22" s="1"/>
  <c r="J52" i="22"/>
  <c r="K52" i="22" s="1"/>
  <c r="L52" i="22" s="1"/>
  <c r="M52" i="22" s="1"/>
  <c r="N52" i="22" s="1"/>
  <c r="O52" i="22" s="1"/>
  <c r="P52" i="22" s="1"/>
  <c r="AS51" i="22"/>
  <c r="AT51" i="22" s="1"/>
  <c r="J78" i="22"/>
  <c r="K78" i="22" s="1"/>
  <c r="L78" i="22" s="1"/>
  <c r="M78" i="22" s="1"/>
  <c r="N78" i="22" s="1"/>
  <c r="O78" i="22" s="1"/>
  <c r="P78" i="22" s="1"/>
  <c r="J49" i="22"/>
  <c r="K49" i="22" s="1"/>
  <c r="L49" i="22" s="1"/>
  <c r="M49" i="22" s="1"/>
  <c r="N49" i="22" s="1"/>
  <c r="O49" i="22" s="1"/>
  <c r="P49" i="22" s="1"/>
  <c r="Y51" i="22"/>
  <c r="Z51" i="22" s="1"/>
  <c r="AA51" i="22" s="1"/>
  <c r="AB51" i="22" s="1"/>
  <c r="AC51" i="22" s="1"/>
  <c r="AD51" i="22" s="1"/>
  <c r="AE51" i="22" s="1"/>
  <c r="AN55" i="22"/>
  <c r="AO55" i="22" s="1"/>
  <c r="AP55" i="22" s="1"/>
  <c r="AQ55" i="22" s="1"/>
  <c r="AR55" i="22" s="1"/>
  <c r="AS55" i="22" s="1"/>
  <c r="AT55" i="22" s="1"/>
  <c r="AM55" i="22"/>
  <c r="X48" i="22"/>
  <c r="Y48" i="22"/>
  <c r="Z48" i="22" s="1"/>
  <c r="AA48" i="22" s="1"/>
  <c r="AB48" i="22" s="1"/>
  <c r="AC48" i="22" s="1"/>
  <c r="AD48" i="22" s="1"/>
  <c r="AE48" i="22" s="1"/>
  <c r="J51" i="22"/>
  <c r="K51" i="22" s="1"/>
  <c r="L51" i="22" s="1"/>
  <c r="M51" i="22" s="1"/>
  <c r="N51" i="22" s="1"/>
  <c r="O51" i="22" s="1"/>
  <c r="P51" i="22" s="1"/>
  <c r="AM50" i="22"/>
  <c r="AJ81" i="13" s="1"/>
  <c r="AN50" i="22"/>
  <c r="AO50" i="22" s="1"/>
  <c r="AP50" i="22" s="1"/>
  <c r="AQ50" i="22" s="1"/>
  <c r="AR50" i="22" s="1"/>
  <c r="AS50" i="22" s="1"/>
  <c r="AT50" i="22" s="1"/>
  <c r="J50" i="22"/>
  <c r="K50" i="22" s="1"/>
  <c r="L50" i="22" s="1"/>
  <c r="M50" i="22" s="1"/>
  <c r="N50" i="22" s="1"/>
  <c r="O50" i="22" s="1"/>
  <c r="P50" i="22" s="1"/>
  <c r="J77" i="22"/>
  <c r="K77" i="22" s="1"/>
  <c r="L77" i="22" s="1"/>
  <c r="M77" i="22" s="1"/>
  <c r="N77" i="22" s="1"/>
  <c r="O77" i="22" s="1"/>
  <c r="P77" i="22" s="1"/>
  <c r="I77" i="22"/>
  <c r="AS79" i="22"/>
  <c r="AT79" i="22" s="1"/>
  <c r="AM78" i="22"/>
  <c r="AJ124" i="13" s="1"/>
  <c r="AN78" i="22"/>
  <c r="AO78" i="22" s="1"/>
  <c r="AP78" i="22" s="1"/>
  <c r="AQ78" i="22" s="1"/>
  <c r="AR78" i="22" s="1"/>
  <c r="AS78" i="22" s="1"/>
  <c r="AT78" i="22" s="1"/>
  <c r="AN77" i="22"/>
  <c r="AO77" i="22" s="1"/>
  <c r="AP77" i="22" s="1"/>
  <c r="AQ77" i="22" s="1"/>
  <c r="AR77" i="22" s="1"/>
  <c r="AS77" i="22" s="1"/>
  <c r="AT77" i="22" s="1"/>
  <c r="J74" i="22"/>
  <c r="K74" i="22" s="1"/>
  <c r="L74" i="22" s="1"/>
  <c r="M74" i="22" s="1"/>
  <c r="N74" i="22" s="1"/>
  <c r="O74" i="22" s="1"/>
  <c r="P74" i="22" s="1"/>
  <c r="O75" i="22"/>
  <c r="P75" i="22" s="1"/>
  <c r="I76" i="22"/>
  <c r="J76" i="22"/>
  <c r="K76" i="22" s="1"/>
  <c r="L76" i="22" s="1"/>
  <c r="M76" i="22" s="1"/>
  <c r="N76" i="22" s="1"/>
  <c r="O76" i="22" s="1"/>
  <c r="P76" i="22" s="1"/>
  <c r="I73" i="22"/>
  <c r="J73" i="22"/>
  <c r="K73" i="22" s="1"/>
  <c r="L73" i="22" s="1"/>
  <c r="M73" i="22" s="1"/>
  <c r="N73" i="22" s="1"/>
  <c r="O73" i="22" s="1"/>
  <c r="P73" i="22" s="1"/>
  <c r="I80" i="22"/>
  <c r="J80" i="22"/>
  <c r="K80" i="22" s="1"/>
  <c r="L80" i="22" s="1"/>
  <c r="M80" i="22" s="1"/>
  <c r="N80" i="22" s="1"/>
  <c r="O80" i="22" s="1"/>
  <c r="P80" i="22" s="1"/>
  <c r="X77" i="22"/>
  <c r="Y77" i="22"/>
  <c r="Z77" i="22" s="1"/>
  <c r="AA77" i="22" s="1"/>
  <c r="AB77" i="22" s="1"/>
  <c r="AC77" i="22" s="1"/>
  <c r="AD77" i="22" s="1"/>
  <c r="AE77" i="22" s="1"/>
  <c r="AM74" i="22"/>
  <c r="AJ120" i="13" s="1"/>
  <c r="AN74" i="22"/>
  <c r="AO74" i="22" s="1"/>
  <c r="AP74" i="22" s="1"/>
  <c r="AQ74" i="22" s="1"/>
  <c r="AR74" i="22" s="1"/>
  <c r="AS74" i="22" s="1"/>
  <c r="AT74" i="22" s="1"/>
  <c r="C103" i="22"/>
  <c r="C102" i="22"/>
  <c r="AF72" i="22"/>
  <c r="AE118" i="13" s="1"/>
  <c r="AI118" i="13" s="1"/>
  <c r="Q72" i="22"/>
  <c r="W72" i="22" s="1"/>
  <c r="B72" i="22"/>
  <c r="AF71" i="22"/>
  <c r="AE117" i="13" s="1"/>
  <c r="AI117" i="13" s="1"/>
  <c r="Q71" i="22"/>
  <c r="V71" i="22" s="1"/>
  <c r="B71" i="22"/>
  <c r="AF70" i="22"/>
  <c r="AE116" i="13" s="1"/>
  <c r="AI116" i="13" s="1"/>
  <c r="Q70" i="22"/>
  <c r="W70" i="22" s="1"/>
  <c r="B70" i="22"/>
  <c r="AE96" i="13" s="1"/>
  <c r="AI96" i="13" s="1"/>
  <c r="AF69" i="22"/>
  <c r="AE115" i="13" s="1"/>
  <c r="AI115" i="13" s="1"/>
  <c r="Q69" i="22"/>
  <c r="B69" i="22"/>
  <c r="AF68" i="22"/>
  <c r="Q68" i="22"/>
  <c r="W68" i="22" s="1"/>
  <c r="B68" i="22"/>
  <c r="AF67" i="22"/>
  <c r="Q67" i="22"/>
  <c r="V67" i="22" s="1"/>
  <c r="B67" i="22"/>
  <c r="AE93" i="13" s="1"/>
  <c r="AI93" i="13" s="1"/>
  <c r="AF66" i="22"/>
  <c r="AE112" i="13" s="1"/>
  <c r="AI112" i="13" s="1"/>
  <c r="Q66" i="22"/>
  <c r="W66" i="22" s="1"/>
  <c r="B66" i="22"/>
  <c r="AF65" i="22"/>
  <c r="AE111" i="13" s="1"/>
  <c r="AI111" i="13" s="1"/>
  <c r="Q65" i="22"/>
  <c r="W65" i="22" s="1"/>
  <c r="X65" i="22" s="1"/>
  <c r="B65" i="22"/>
  <c r="AE91" i="13" s="1"/>
  <c r="AI91" i="13" s="1"/>
  <c r="AF64" i="22"/>
  <c r="AE110" i="13" s="1"/>
  <c r="AI110" i="13" s="1"/>
  <c r="Q64" i="22"/>
  <c r="W64" i="22" s="1"/>
  <c r="X64" i="22" s="1"/>
  <c r="B64" i="22"/>
  <c r="AF63" i="22"/>
  <c r="Q63" i="22"/>
  <c r="B63" i="22"/>
  <c r="AF56" i="22"/>
  <c r="AE87" i="13" s="1"/>
  <c r="AI87" i="13" s="1"/>
  <c r="B56" i="22"/>
  <c r="AF47" i="22"/>
  <c r="AE78" i="13" s="1"/>
  <c r="AI78" i="13" s="1"/>
  <c r="Q47" i="22"/>
  <c r="B47" i="22"/>
  <c r="AF46" i="22"/>
  <c r="AE77" i="13" s="1"/>
  <c r="AI77" i="13" s="1"/>
  <c r="Q46" i="22"/>
  <c r="B46" i="22"/>
  <c r="AF45" i="22"/>
  <c r="AE76" i="13" s="1"/>
  <c r="AI76" i="13" s="1"/>
  <c r="Q45" i="22"/>
  <c r="B45" i="22"/>
  <c r="AF44" i="22"/>
  <c r="AE75" i="13" s="1"/>
  <c r="AI75" i="13" s="1"/>
  <c r="Q44" i="22"/>
  <c r="B44" i="22"/>
  <c r="AF43" i="22"/>
  <c r="Q43" i="22"/>
  <c r="B43" i="22"/>
  <c r="AF42" i="22"/>
  <c r="AE73" i="13" s="1"/>
  <c r="AI73" i="13" s="1"/>
  <c r="Q42" i="22"/>
  <c r="B42" i="22"/>
  <c r="AF41" i="22"/>
  <c r="AE72" i="13" s="1"/>
  <c r="AI72" i="13" s="1"/>
  <c r="Q41" i="22"/>
  <c r="B41" i="22"/>
  <c r="AF40" i="22"/>
  <c r="AE71" i="13" s="1"/>
  <c r="AI71" i="13" s="1"/>
  <c r="Q40" i="22"/>
  <c r="B40" i="22"/>
  <c r="AF39" i="22"/>
  <c r="AK39" i="22" s="1"/>
  <c r="Q39" i="22"/>
  <c r="B39" i="22"/>
  <c r="AF21" i="22"/>
  <c r="AE39" i="13" s="1"/>
  <c r="AI39" i="13" s="1"/>
  <c r="Q21" i="22"/>
  <c r="B21" i="22"/>
  <c r="AF20" i="22"/>
  <c r="AE38" i="13" s="1"/>
  <c r="AI38" i="13" s="1"/>
  <c r="Q20" i="22"/>
  <c r="B20" i="22"/>
  <c r="AF19" i="22"/>
  <c r="Q19" i="22"/>
  <c r="B19" i="22"/>
  <c r="AE17" i="13" s="1"/>
  <c r="AI17" i="13" s="1"/>
  <c r="AF18" i="22"/>
  <c r="Q18" i="22"/>
  <c r="V18" i="22" s="1"/>
  <c r="B18" i="22"/>
  <c r="BG17" i="22"/>
  <c r="AF17" i="22"/>
  <c r="Q17" i="22"/>
  <c r="B17" i="22"/>
  <c r="BG16" i="22"/>
  <c r="AZ16" i="22"/>
  <c r="AF16" i="22"/>
  <c r="AE34" i="13" s="1"/>
  <c r="AI34" i="13" s="1"/>
  <c r="Q16" i="22"/>
  <c r="B16" i="22"/>
  <c r="BG15" i="22"/>
  <c r="AF15" i="22"/>
  <c r="Q15" i="22"/>
  <c r="B15" i="22"/>
  <c r="BG14" i="22"/>
  <c r="AF14" i="22"/>
  <c r="Q14" i="22"/>
  <c r="B14" i="22"/>
  <c r="H14" i="22" s="1"/>
  <c r="AG12" i="13" s="1"/>
  <c r="BG13" i="22"/>
  <c r="AZ13" i="22"/>
  <c r="AZ14" i="22" s="1"/>
  <c r="AZ15" i="22" s="1"/>
  <c r="AF13" i="22"/>
  <c r="AE31" i="13" s="1"/>
  <c r="AI31" i="13" s="1"/>
  <c r="Q13" i="22"/>
  <c r="V13" i="22" s="1"/>
  <c r="B13" i="22"/>
  <c r="H13" i="22" s="1"/>
  <c r="BG12" i="22"/>
  <c r="AF12" i="22"/>
  <c r="Q12" i="22"/>
  <c r="B12" i="22"/>
  <c r="BG11" i="22"/>
  <c r="BG10" i="22"/>
  <c r="B8" i="22"/>
  <c r="B7" i="22"/>
  <c r="B6" i="22"/>
  <c r="B5" i="22"/>
  <c r="B4" i="22"/>
  <c r="BC2" i="22"/>
  <c r="AY2" i="22" s="1"/>
  <c r="I82" i="22" l="1"/>
  <c r="I35" i="22"/>
  <c r="AJ46" i="13"/>
  <c r="AM34" i="22"/>
  <c r="BH9" i="22" s="1"/>
  <c r="AM35" i="22"/>
  <c r="AJ86" i="13"/>
  <c r="P34" i="22"/>
  <c r="P35" i="22"/>
  <c r="W71" i="22"/>
  <c r="Y71" i="22" s="1"/>
  <c r="Z71" i="22" s="1"/>
  <c r="AA71" i="22" s="1"/>
  <c r="AB71" i="22" s="1"/>
  <c r="AC71" i="22" s="1"/>
  <c r="AD71" i="22" s="1"/>
  <c r="AE71" i="22" s="1"/>
  <c r="BD16" i="22"/>
  <c r="BD11" i="22"/>
  <c r="BE11" i="22" s="1"/>
  <c r="BD13" i="22"/>
  <c r="BE13" i="22" s="1"/>
  <c r="BD9" i="22"/>
  <c r="BE9" i="22" s="1"/>
  <c r="BD17" i="22"/>
  <c r="BD14" i="22"/>
  <c r="BD10" i="22"/>
  <c r="BD15" i="22"/>
  <c r="BD12" i="22"/>
  <c r="BE12" i="22" s="1"/>
  <c r="V65" i="22"/>
  <c r="V72" i="22"/>
  <c r="AL71" i="22"/>
  <c r="AG117" i="13" s="1"/>
  <c r="BF13" i="22"/>
  <c r="X71" i="22"/>
  <c r="BI15" i="22"/>
  <c r="BH15" i="22"/>
  <c r="BJ15" i="22" s="1"/>
  <c r="AJ123" i="13"/>
  <c r="AE52" i="13"/>
  <c r="AI52" i="13" s="1"/>
  <c r="G41" i="22"/>
  <c r="H41" i="22"/>
  <c r="I41" i="22" s="1"/>
  <c r="AJ52" i="13" s="1"/>
  <c r="AL43" i="22"/>
  <c r="AG74" i="13" s="1"/>
  <c r="AE74" i="13"/>
  <c r="AI74" i="13" s="1"/>
  <c r="G42" i="22"/>
  <c r="H42" i="22"/>
  <c r="G45" i="22"/>
  <c r="H45" i="22"/>
  <c r="AE55" i="13"/>
  <c r="AI55" i="13" s="1"/>
  <c r="G44" i="22"/>
  <c r="H44" i="22"/>
  <c r="AG55" i="13" s="1"/>
  <c r="AE51" i="13"/>
  <c r="AI51" i="13" s="1"/>
  <c r="H40" i="22"/>
  <c r="I40" i="22" s="1"/>
  <c r="AJ51" i="13" s="1"/>
  <c r="G40" i="22"/>
  <c r="G43" i="22"/>
  <c r="H43" i="22"/>
  <c r="AG54" i="13" s="1"/>
  <c r="BI9" i="22"/>
  <c r="H47" i="22"/>
  <c r="G47" i="22"/>
  <c r="H46" i="22"/>
  <c r="G46" i="22"/>
  <c r="H12" i="22"/>
  <c r="I12" i="22" s="1"/>
  <c r="AJ10" i="13" s="1"/>
  <c r="AE10" i="13"/>
  <c r="AI10" i="13" s="1"/>
  <c r="AL17" i="22"/>
  <c r="AN17" i="22" s="1"/>
  <c r="AO17" i="22" s="1"/>
  <c r="AP17" i="22" s="1"/>
  <c r="AQ17" i="22" s="1"/>
  <c r="AR17" i="22" s="1"/>
  <c r="AE35" i="13"/>
  <c r="AI35" i="13" s="1"/>
  <c r="AL44" i="22"/>
  <c r="AG75" i="13" s="1"/>
  <c r="J13" i="22"/>
  <c r="K13" i="22" s="1"/>
  <c r="AG11" i="13"/>
  <c r="W21" i="22"/>
  <c r="X21" i="22" s="1"/>
  <c r="AL12" i="22"/>
  <c r="AG30" i="13" s="1"/>
  <c r="AE30" i="13"/>
  <c r="AI30" i="13" s="1"/>
  <c r="AL16" i="22"/>
  <c r="AG34" i="13" s="1"/>
  <c r="AL21" i="22"/>
  <c r="AG39" i="13" s="1"/>
  <c r="AK40" i="22"/>
  <c r="V43" i="22"/>
  <c r="V44" i="22"/>
  <c r="AL45" i="22"/>
  <c r="AG76" i="13" s="1"/>
  <c r="AL47" i="22"/>
  <c r="AG78" i="13" s="1"/>
  <c r="W47" i="22"/>
  <c r="H15" i="22"/>
  <c r="AG13" i="13" s="1"/>
  <c r="AE13" i="13"/>
  <c r="AI13" i="13" s="1"/>
  <c r="W19" i="22"/>
  <c r="Y19" i="22" s="1"/>
  <c r="Z19" i="22" s="1"/>
  <c r="AA19" i="22" s="1"/>
  <c r="AB19" i="22" s="1"/>
  <c r="AC19" i="22" s="1"/>
  <c r="W43" i="22"/>
  <c r="W44" i="22"/>
  <c r="AK45" i="22"/>
  <c r="AE54" i="13"/>
  <c r="AI54" i="13" s="1"/>
  <c r="G39" i="22"/>
  <c r="AE50" i="13"/>
  <c r="AI50" i="13" s="1"/>
  <c r="G18" i="22"/>
  <c r="AE16" i="13"/>
  <c r="AI16" i="13" s="1"/>
  <c r="H20" i="22"/>
  <c r="AG18" i="13" s="1"/>
  <c r="AE18" i="13"/>
  <c r="AI18" i="13" s="1"/>
  <c r="V39" i="22"/>
  <c r="AK41" i="22"/>
  <c r="V46" i="22"/>
  <c r="AK56" i="22"/>
  <c r="G14" i="22"/>
  <c r="AE12" i="13"/>
  <c r="AI12" i="13" s="1"/>
  <c r="W13" i="22"/>
  <c r="W14" i="22"/>
  <c r="W18" i="22"/>
  <c r="X18" i="22" s="1"/>
  <c r="W20" i="22"/>
  <c r="AL39" i="22"/>
  <c r="AE70" i="13"/>
  <c r="AI70" i="13" s="1"/>
  <c r="AE53" i="13"/>
  <c r="AI53" i="13" s="1"/>
  <c r="AK44" i="22"/>
  <c r="AL56" i="22"/>
  <c r="G13" i="22"/>
  <c r="AE11" i="13"/>
  <c r="AI11" i="13" s="1"/>
  <c r="V15" i="22"/>
  <c r="AE57" i="13"/>
  <c r="AI57" i="13" s="1"/>
  <c r="AE58" i="13"/>
  <c r="AI58" i="13" s="1"/>
  <c r="V45" i="22"/>
  <c r="AK43" i="22"/>
  <c r="AL13" i="22"/>
  <c r="AG31" i="13" s="1"/>
  <c r="AK17" i="22"/>
  <c r="H21" i="22"/>
  <c r="J21" i="22" s="1"/>
  <c r="K21" i="22" s="1"/>
  <c r="AE19" i="13"/>
  <c r="AI19" i="13" s="1"/>
  <c r="AE56" i="13"/>
  <c r="AI56" i="13" s="1"/>
  <c r="AL66" i="22"/>
  <c r="AG112" i="13" s="1"/>
  <c r="AL69" i="22"/>
  <c r="AG115" i="13" s="1"/>
  <c r="AK71" i="22"/>
  <c r="AL65" i="22"/>
  <c r="AG111" i="13" s="1"/>
  <c r="AL70" i="22"/>
  <c r="AG116" i="13" s="1"/>
  <c r="AK64" i="22"/>
  <c r="AK63" i="22"/>
  <c r="AE109" i="13"/>
  <c r="AI109" i="13" s="1"/>
  <c r="AK66" i="22"/>
  <c r="AL72" i="22"/>
  <c r="AG118" i="13" s="1"/>
  <c r="G72" i="22"/>
  <c r="AE98" i="13"/>
  <c r="AI98" i="13" s="1"/>
  <c r="H71" i="22"/>
  <c r="AG97" i="13" s="1"/>
  <c r="AE97" i="13"/>
  <c r="AI97" i="13" s="1"/>
  <c r="H70" i="22"/>
  <c r="AG96" i="13" s="1"/>
  <c r="G70" i="22"/>
  <c r="G69" i="22"/>
  <c r="AE95" i="13"/>
  <c r="AI95" i="13" s="1"/>
  <c r="H68" i="22"/>
  <c r="I68" i="22" s="1"/>
  <c r="AJ94" i="13" s="1"/>
  <c r="AE94" i="13"/>
  <c r="AI94" i="13" s="1"/>
  <c r="H66" i="22"/>
  <c r="J66" i="22" s="1"/>
  <c r="K66" i="22" s="1"/>
  <c r="L66" i="22" s="1"/>
  <c r="M66" i="22" s="1"/>
  <c r="N66" i="22" s="1"/>
  <c r="AE92" i="13"/>
  <c r="AI92" i="13" s="1"/>
  <c r="H64" i="22"/>
  <c r="AG90" i="13" s="1"/>
  <c r="AE90" i="13"/>
  <c r="AI90" i="13" s="1"/>
  <c r="AE89" i="13"/>
  <c r="AI89" i="13" s="1"/>
  <c r="H63" i="22"/>
  <c r="AG89" i="13" s="1"/>
  <c r="AK65" i="22"/>
  <c r="AK69" i="22"/>
  <c r="AK70" i="22"/>
  <c r="AL64" i="22"/>
  <c r="AG110" i="13" s="1"/>
  <c r="AK16" i="22"/>
  <c r="AK21" i="22"/>
  <c r="AK13" i="22"/>
  <c r="AL41" i="22"/>
  <c r="AG72" i="13" s="1"/>
  <c r="AL40" i="22"/>
  <c r="AG71" i="13" s="1"/>
  <c r="V64" i="22"/>
  <c r="Y65" i="22"/>
  <c r="Z65" i="22" s="1"/>
  <c r="AA65" i="22" s="1"/>
  <c r="AB65" i="22" s="1"/>
  <c r="AC65" i="22" s="1"/>
  <c r="W67" i="22"/>
  <c r="V47" i="22"/>
  <c r="W46" i="22"/>
  <c r="W39" i="22"/>
  <c r="Y39" i="22" s="1"/>
  <c r="Z39" i="22" s="1"/>
  <c r="AA39" i="22" s="1"/>
  <c r="AB39" i="22" s="1"/>
  <c r="AC39" i="22" s="1"/>
  <c r="V21" i="22"/>
  <c r="W15" i="22"/>
  <c r="G68" i="22"/>
  <c r="H69" i="22"/>
  <c r="I69" i="22" s="1"/>
  <c r="AJ95" i="13" s="1"/>
  <c r="H72" i="22"/>
  <c r="AG98" i="13" s="1"/>
  <c r="B103" i="22"/>
  <c r="G63" i="22"/>
  <c r="G71" i="22"/>
  <c r="G66" i="22"/>
  <c r="H18" i="22"/>
  <c r="G21" i="22"/>
  <c r="G20" i="22"/>
  <c r="W42" i="22"/>
  <c r="V42" i="22"/>
  <c r="Y13" i="22"/>
  <c r="Z13" i="22" s="1"/>
  <c r="AA13" i="22" s="1"/>
  <c r="AB13" i="22" s="1"/>
  <c r="AC13" i="22" s="1"/>
  <c r="AD13" i="22" s="1"/>
  <c r="AE13" i="22" s="1"/>
  <c r="H19" i="22"/>
  <c r="AG17" i="13" s="1"/>
  <c r="G19" i="22"/>
  <c r="J14" i="22"/>
  <c r="K14" i="22" s="1"/>
  <c r="I14" i="22"/>
  <c r="AJ12" i="13" s="1"/>
  <c r="W40" i="22"/>
  <c r="V40" i="22"/>
  <c r="AL20" i="22"/>
  <c r="AG38" i="13" s="1"/>
  <c r="AK20" i="22"/>
  <c r="H65" i="22"/>
  <c r="AG91" i="13" s="1"/>
  <c r="G65" i="22"/>
  <c r="W12" i="22"/>
  <c r="V12" i="22"/>
  <c r="Y66" i="22"/>
  <c r="Z66" i="22" s="1"/>
  <c r="AA66" i="22" s="1"/>
  <c r="AB66" i="22" s="1"/>
  <c r="AC66" i="22" s="1"/>
  <c r="X66" i="22"/>
  <c r="Y70" i="22"/>
  <c r="Z70" i="22" s="1"/>
  <c r="AA70" i="22" s="1"/>
  <c r="AB70" i="22" s="1"/>
  <c r="AC70" i="22" s="1"/>
  <c r="X70" i="22"/>
  <c r="V14" i="22"/>
  <c r="AZ17" i="22"/>
  <c r="AZ18" i="22" s="1"/>
  <c r="V66" i="22"/>
  <c r="B102" i="22"/>
  <c r="BF9" i="22"/>
  <c r="AK12" i="22"/>
  <c r="I13" i="22"/>
  <c r="AJ11" i="13" s="1"/>
  <c r="G15" i="22"/>
  <c r="V19" i="22"/>
  <c r="H39" i="22"/>
  <c r="AG50" i="13" s="1"/>
  <c r="V41" i="22"/>
  <c r="W41" i="22"/>
  <c r="G64" i="22"/>
  <c r="H67" i="22"/>
  <c r="AG93" i="13" s="1"/>
  <c r="G67" i="22"/>
  <c r="Y72" i="22"/>
  <c r="Z72" i="22" s="1"/>
  <c r="AA72" i="22" s="1"/>
  <c r="AB72" i="22" s="1"/>
  <c r="AC72" i="22" s="1"/>
  <c r="X72" i="22"/>
  <c r="AK42" i="22"/>
  <c r="AL42" i="22"/>
  <c r="AG73" i="13" s="1"/>
  <c r="AL46" i="22"/>
  <c r="AG77" i="13" s="1"/>
  <c r="AK46" i="22"/>
  <c r="Q102" i="22"/>
  <c r="Y68" i="22"/>
  <c r="Z68" i="22" s="1"/>
  <c r="AA68" i="22" s="1"/>
  <c r="AB68" i="22" s="1"/>
  <c r="AC68" i="22" s="1"/>
  <c r="X68" i="22"/>
  <c r="G12" i="22"/>
  <c r="BF12" i="22"/>
  <c r="V20" i="22"/>
  <c r="V68" i="22"/>
  <c r="W69" i="22"/>
  <c r="V69" i="22"/>
  <c r="W45" i="22"/>
  <c r="AL63" i="22"/>
  <c r="AG109" i="13" s="1"/>
  <c r="Y64" i="22"/>
  <c r="Z64" i="22" s="1"/>
  <c r="AA64" i="22" s="1"/>
  <c r="AB64" i="22" s="1"/>
  <c r="AC64" i="22" s="1"/>
  <c r="AD64" i="22" s="1"/>
  <c r="AE64" i="22" s="1"/>
  <c r="AF102" i="22"/>
  <c r="Q103" i="22"/>
  <c r="AK47" i="22"/>
  <c r="V63" i="22"/>
  <c r="V70" i="22"/>
  <c r="AK72" i="22"/>
  <c r="W63" i="22"/>
  <c r="AF103" i="22"/>
  <c r="AD72" i="22" l="1"/>
  <c r="AE72" i="22" s="1"/>
  <c r="BF17" i="22"/>
  <c r="BE17" i="22"/>
  <c r="BF16" i="22"/>
  <c r="BE16" i="22"/>
  <c r="AM71" i="22"/>
  <c r="AJ117" i="13" s="1"/>
  <c r="BF11" i="22"/>
  <c r="BF15" i="22"/>
  <c r="BE15" i="22"/>
  <c r="BF10" i="22"/>
  <c r="BE10" i="22"/>
  <c r="BF14" i="22"/>
  <c r="BE14" i="22"/>
  <c r="BJ9" i="22"/>
  <c r="AM64" i="22"/>
  <c r="AJ110" i="13" s="1"/>
  <c r="AN71" i="22"/>
  <c r="AO71" i="22" s="1"/>
  <c r="AP71" i="22" s="1"/>
  <c r="AQ71" i="22" s="1"/>
  <c r="AR71" i="22" s="1"/>
  <c r="AS71" i="22" s="1"/>
  <c r="AT71" i="22" s="1"/>
  <c r="AM47" i="22"/>
  <c r="AJ78" i="13" s="1"/>
  <c r="AD65" i="22"/>
  <c r="AE65" i="22" s="1"/>
  <c r="AM43" i="22"/>
  <c r="AJ74" i="13" s="1"/>
  <c r="AN69" i="22"/>
  <c r="AO69" i="22" s="1"/>
  <c r="AP69" i="22" s="1"/>
  <c r="AQ69" i="22" s="1"/>
  <c r="AR69" i="22" s="1"/>
  <c r="AS69" i="22" s="1"/>
  <c r="AT69" i="22" s="1"/>
  <c r="AM70" i="22"/>
  <c r="AJ116" i="13" s="1"/>
  <c r="AN43" i="22"/>
  <c r="AO43" i="22" s="1"/>
  <c r="AP43" i="22" s="1"/>
  <c r="AQ43" i="22" s="1"/>
  <c r="AR43" i="22" s="1"/>
  <c r="Y21" i="22"/>
  <c r="Z21" i="22" s="1"/>
  <c r="AA21" i="22" s="1"/>
  <c r="AB21" i="22" s="1"/>
  <c r="AC21" i="22" s="1"/>
  <c r="AD21" i="22" s="1"/>
  <c r="AE21" i="22" s="1"/>
  <c r="AG52" i="13"/>
  <c r="X19" i="22"/>
  <c r="AM66" i="22"/>
  <c r="AJ112" i="13" s="1"/>
  <c r="J42" i="22"/>
  <c r="K42" i="22" s="1"/>
  <c r="L42" i="22" s="1"/>
  <c r="M42" i="22" s="1"/>
  <c r="N42" i="22" s="1"/>
  <c r="O42" i="22" s="1"/>
  <c r="P42" i="22" s="1"/>
  <c r="I42" i="22"/>
  <c r="AJ53" i="13" s="1"/>
  <c r="I47" i="22"/>
  <c r="AJ58" i="13" s="1"/>
  <c r="J47" i="22"/>
  <c r="K47" i="22" s="1"/>
  <c r="L47" i="22" s="1"/>
  <c r="M47" i="22" s="1"/>
  <c r="N47" i="22" s="1"/>
  <c r="O47" i="22" s="1"/>
  <c r="P47" i="22" s="1"/>
  <c r="J44" i="22"/>
  <c r="K44" i="22" s="1"/>
  <c r="L44" i="22" s="1"/>
  <c r="M44" i="22" s="1"/>
  <c r="N44" i="22" s="1"/>
  <c r="O44" i="22" s="1"/>
  <c r="P44" i="22" s="1"/>
  <c r="I44" i="22"/>
  <c r="AJ55" i="13" s="1"/>
  <c r="AG51" i="13"/>
  <c r="J43" i="22"/>
  <c r="K43" i="22" s="1"/>
  <c r="L43" i="22" s="1"/>
  <c r="M43" i="22" s="1"/>
  <c r="N43" i="22" s="1"/>
  <c r="O43" i="22" s="1"/>
  <c r="P43" i="22" s="1"/>
  <c r="I43" i="22"/>
  <c r="AJ54" i="13" s="1"/>
  <c r="I45" i="22"/>
  <c r="AJ56" i="13" s="1"/>
  <c r="J45" i="22"/>
  <c r="K45" i="22" s="1"/>
  <c r="L45" i="22" s="1"/>
  <c r="M45" i="22" s="1"/>
  <c r="N45" i="22" s="1"/>
  <c r="O45" i="22" s="1"/>
  <c r="P45" i="22" s="1"/>
  <c r="I46" i="22"/>
  <c r="AJ57" i="13" s="1"/>
  <c r="J46" i="22"/>
  <c r="K46" i="22" s="1"/>
  <c r="L46" i="22" s="1"/>
  <c r="M46" i="22" s="1"/>
  <c r="N46" i="22" s="1"/>
  <c r="O46" i="22" s="1"/>
  <c r="P46" i="22" s="1"/>
  <c r="AN56" i="22"/>
  <c r="AO56" i="22" s="1"/>
  <c r="AP56" i="22" s="1"/>
  <c r="AQ56" i="22" s="1"/>
  <c r="AR56" i="22" s="1"/>
  <c r="AS56" i="22" s="1"/>
  <c r="AT56" i="22" s="1"/>
  <c r="AG87" i="13"/>
  <c r="J20" i="22"/>
  <c r="K20" i="22" s="1"/>
  <c r="L20" i="22" s="1"/>
  <c r="M20" i="22" s="1"/>
  <c r="N20" i="22" s="1"/>
  <c r="O20" i="22" s="1"/>
  <c r="P20" i="22" s="1"/>
  <c r="J12" i="22"/>
  <c r="K12" i="22" s="1"/>
  <c r="AG10" i="13"/>
  <c r="AM21" i="22"/>
  <c r="AJ39" i="13" s="1"/>
  <c r="AN21" i="22"/>
  <c r="AO21" i="22" s="1"/>
  <c r="AP21" i="22" s="1"/>
  <c r="AQ21" i="22" s="1"/>
  <c r="AR21" i="22" s="1"/>
  <c r="AS21" i="22" s="1"/>
  <c r="AT21" i="22" s="1"/>
  <c r="AM17" i="22"/>
  <c r="AJ35" i="13" s="1"/>
  <c r="AG35" i="13"/>
  <c r="AM12" i="22"/>
  <c r="AJ30" i="13" s="1"/>
  <c r="AN12" i="22"/>
  <c r="AO12" i="22" s="1"/>
  <c r="AP12" i="22" s="1"/>
  <c r="AQ12" i="22" s="1"/>
  <c r="AR12" i="22" s="1"/>
  <c r="AS12" i="22" s="1"/>
  <c r="AT12" i="22" s="1"/>
  <c r="Y43" i="22"/>
  <c r="Z43" i="22" s="1"/>
  <c r="AA43" i="22" s="1"/>
  <c r="AB43" i="22" s="1"/>
  <c r="AC43" i="22" s="1"/>
  <c r="AD43" i="22" s="1"/>
  <c r="AE43" i="22" s="1"/>
  <c r="X43" i="22"/>
  <c r="AN47" i="22"/>
  <c r="AO47" i="22" s="1"/>
  <c r="AP47" i="22" s="1"/>
  <c r="AQ47" i="22" s="1"/>
  <c r="AR47" i="22" s="1"/>
  <c r="AS47" i="22" s="1"/>
  <c r="AT47" i="22" s="1"/>
  <c r="AM44" i="22"/>
  <c r="AJ75" i="13" s="1"/>
  <c r="AN44" i="22"/>
  <c r="AO44" i="22" s="1"/>
  <c r="AP44" i="22" s="1"/>
  <c r="AQ44" i="22" s="1"/>
  <c r="AR44" i="22" s="1"/>
  <c r="AS44" i="22" s="1"/>
  <c r="AT44" i="22" s="1"/>
  <c r="AN13" i="22"/>
  <c r="AO13" i="22" s="1"/>
  <c r="AP13" i="22" s="1"/>
  <c r="AQ13" i="22" s="1"/>
  <c r="AR13" i="22" s="1"/>
  <c r="AS13" i="22" s="1"/>
  <c r="AT13" i="22" s="1"/>
  <c r="AM41" i="22"/>
  <c r="AJ72" i="13" s="1"/>
  <c r="AN41" i="22"/>
  <c r="AO41" i="22" s="1"/>
  <c r="AP41" i="22" s="1"/>
  <c r="AQ41" i="22" s="1"/>
  <c r="AR41" i="22" s="1"/>
  <c r="AS41" i="22" s="1"/>
  <c r="AT41" i="22" s="1"/>
  <c r="I20" i="22"/>
  <c r="AJ18" i="13" s="1"/>
  <c r="X47" i="22"/>
  <c r="Y47" i="22"/>
  <c r="Z47" i="22" s="1"/>
  <c r="AA47" i="22" s="1"/>
  <c r="AB47" i="22" s="1"/>
  <c r="AC47" i="22" s="1"/>
  <c r="AD47" i="22" s="1"/>
  <c r="AE47" i="22" s="1"/>
  <c r="AM45" i="22"/>
  <c r="AJ76" i="13" s="1"/>
  <c r="X14" i="22"/>
  <c r="AS17" i="22"/>
  <c r="AT17" i="22" s="1"/>
  <c r="Y14" i="22"/>
  <c r="Z14" i="22" s="1"/>
  <c r="AA14" i="22" s="1"/>
  <c r="AB14" i="22" s="1"/>
  <c r="AC14" i="22" s="1"/>
  <c r="AN16" i="22"/>
  <c r="AO16" i="22" s="1"/>
  <c r="AP16" i="22" s="1"/>
  <c r="AQ16" i="22" s="1"/>
  <c r="AR16" i="22" s="1"/>
  <c r="AS16" i="22" s="1"/>
  <c r="AT16" i="22" s="1"/>
  <c r="I15" i="22"/>
  <c r="AJ13" i="13" s="1"/>
  <c r="AM16" i="22"/>
  <c r="AJ34" i="13" s="1"/>
  <c r="J63" i="22"/>
  <c r="K63" i="22" s="1"/>
  <c r="L63" i="22" s="1"/>
  <c r="M63" i="22" s="1"/>
  <c r="N63" i="22" s="1"/>
  <c r="O63" i="22" s="1"/>
  <c r="P63" i="22" s="1"/>
  <c r="AN39" i="22"/>
  <c r="AO39" i="22" s="1"/>
  <c r="AP39" i="22" s="1"/>
  <c r="AQ39" i="22" s="1"/>
  <c r="AR39" i="22" s="1"/>
  <c r="AS39" i="22" s="1"/>
  <c r="AT39" i="22" s="1"/>
  <c r="AG70" i="13"/>
  <c r="AN45" i="22"/>
  <c r="AO45" i="22" s="1"/>
  <c r="AP45" i="22" s="1"/>
  <c r="AQ45" i="22" s="1"/>
  <c r="AR45" i="22" s="1"/>
  <c r="AS45" i="22" s="1"/>
  <c r="AT45" i="22" s="1"/>
  <c r="J15" i="22"/>
  <c r="K15" i="22" s="1"/>
  <c r="X15" i="22"/>
  <c r="AM56" i="22"/>
  <c r="Y20" i="22"/>
  <c r="Z20" i="22" s="1"/>
  <c r="AA20" i="22" s="1"/>
  <c r="AB20" i="22" s="1"/>
  <c r="AC20" i="22" s="1"/>
  <c r="AD20" i="22" s="1"/>
  <c r="AE20" i="22" s="1"/>
  <c r="AG53" i="13"/>
  <c r="AN40" i="22"/>
  <c r="AO40" i="22" s="1"/>
  <c r="AP40" i="22" s="1"/>
  <c r="AQ40" i="22" s="1"/>
  <c r="AR40" i="22" s="1"/>
  <c r="AS40" i="22" s="1"/>
  <c r="AT40" i="22" s="1"/>
  <c r="X44" i="22"/>
  <c r="Y44" i="22"/>
  <c r="Z44" i="22" s="1"/>
  <c r="AA44" i="22" s="1"/>
  <c r="AB44" i="22" s="1"/>
  <c r="AC44" i="22" s="1"/>
  <c r="AD44" i="22" s="1"/>
  <c r="AE44" i="22" s="1"/>
  <c r="AD39" i="22"/>
  <c r="AE39" i="22" s="1"/>
  <c r="L21" i="22"/>
  <c r="M21" i="22" s="1"/>
  <c r="N21" i="22" s="1"/>
  <c r="O21" i="22" s="1"/>
  <c r="P21" i="22" s="1"/>
  <c r="J18" i="22"/>
  <c r="K18" i="22" s="1"/>
  <c r="AG16" i="13"/>
  <c r="Y18" i="22"/>
  <c r="Z18" i="22" s="1"/>
  <c r="AA18" i="22" s="1"/>
  <c r="AB18" i="22" s="1"/>
  <c r="AC18" i="22" s="1"/>
  <c r="AD18" i="22" s="1"/>
  <c r="AE18" i="22" s="1"/>
  <c r="AG58" i="13"/>
  <c r="Y15" i="22"/>
  <c r="Z15" i="22" s="1"/>
  <c r="AA15" i="22" s="1"/>
  <c r="AB15" i="22" s="1"/>
  <c r="AC15" i="22" s="1"/>
  <c r="AD15" i="22" s="1"/>
  <c r="AE15" i="22" s="1"/>
  <c r="X39" i="22"/>
  <c r="AG56" i="13"/>
  <c r="AS43" i="22"/>
  <c r="AT43" i="22" s="1"/>
  <c r="AM39" i="22"/>
  <c r="AJ70" i="13" s="1"/>
  <c r="L14" i="22"/>
  <c r="M14" i="22" s="1"/>
  <c r="N14" i="22" s="1"/>
  <c r="O14" i="22" s="1"/>
  <c r="P14" i="22" s="1"/>
  <c r="I71" i="22"/>
  <c r="AM40" i="22"/>
  <c r="AJ71" i="13" s="1"/>
  <c r="X13" i="22"/>
  <c r="J71" i="22"/>
  <c r="K71" i="22" s="1"/>
  <c r="L71" i="22" s="1"/>
  <c r="M71" i="22" s="1"/>
  <c r="N71" i="22" s="1"/>
  <c r="O71" i="22" s="1"/>
  <c r="P71" i="22" s="1"/>
  <c r="X20" i="22"/>
  <c r="AG57" i="13"/>
  <c r="AM13" i="22"/>
  <c r="AJ31" i="13" s="1"/>
  <c r="I21" i="22"/>
  <c r="AJ19" i="13" s="1"/>
  <c r="AG19" i="13"/>
  <c r="L13" i="22"/>
  <c r="M13" i="22" s="1"/>
  <c r="N13" i="22" s="1"/>
  <c r="O13" i="22" s="1"/>
  <c r="P13" i="22" s="1"/>
  <c r="AM65" i="22"/>
  <c r="AJ111" i="13" s="1"/>
  <c r="AM69" i="22"/>
  <c r="AJ115" i="13" s="1"/>
  <c r="AM72" i="22"/>
  <c r="AJ118" i="13" s="1"/>
  <c r="AN64" i="22"/>
  <c r="AO64" i="22" s="1"/>
  <c r="AP64" i="22" s="1"/>
  <c r="AQ64" i="22" s="1"/>
  <c r="AR64" i="22" s="1"/>
  <c r="AS64" i="22" s="1"/>
  <c r="AT64" i="22" s="1"/>
  <c r="AN72" i="22"/>
  <c r="AO72" i="22" s="1"/>
  <c r="AP72" i="22" s="1"/>
  <c r="AQ72" i="22" s="1"/>
  <c r="AR72" i="22" s="1"/>
  <c r="AS72" i="22" s="1"/>
  <c r="AT72" i="22" s="1"/>
  <c r="AN65" i="22"/>
  <c r="AO65" i="22" s="1"/>
  <c r="AP65" i="22" s="1"/>
  <c r="AQ65" i="22" s="1"/>
  <c r="AR65" i="22" s="1"/>
  <c r="AS65" i="22" s="1"/>
  <c r="AT65" i="22" s="1"/>
  <c r="AN66" i="22"/>
  <c r="AO66" i="22" s="1"/>
  <c r="AP66" i="22" s="1"/>
  <c r="AQ66" i="22" s="1"/>
  <c r="AR66" i="22" s="1"/>
  <c r="AS66" i="22" s="1"/>
  <c r="AT66" i="22" s="1"/>
  <c r="AN70" i="22"/>
  <c r="AO70" i="22" s="1"/>
  <c r="AP70" i="22" s="1"/>
  <c r="AQ70" i="22" s="1"/>
  <c r="AR70" i="22" s="1"/>
  <c r="AS70" i="22" s="1"/>
  <c r="AT70" i="22" s="1"/>
  <c r="J64" i="22"/>
  <c r="K64" i="22" s="1"/>
  <c r="L64" i="22" s="1"/>
  <c r="M64" i="22" s="1"/>
  <c r="N64" i="22" s="1"/>
  <c r="O64" i="22" s="1"/>
  <c r="P64" i="22" s="1"/>
  <c r="I64" i="22"/>
  <c r="AJ90" i="13" s="1"/>
  <c r="I63" i="22"/>
  <c r="AJ89" i="13" s="1"/>
  <c r="I70" i="22"/>
  <c r="AJ96" i="13" s="1"/>
  <c r="J70" i="22"/>
  <c r="K70" i="22" s="1"/>
  <c r="L70" i="22" s="1"/>
  <c r="M70" i="22" s="1"/>
  <c r="N70" i="22" s="1"/>
  <c r="O70" i="22" s="1"/>
  <c r="P70" i="22" s="1"/>
  <c r="J69" i="22"/>
  <c r="K69" i="22" s="1"/>
  <c r="AG95" i="13"/>
  <c r="J68" i="22"/>
  <c r="K68" i="22" s="1"/>
  <c r="AG94" i="13"/>
  <c r="O66" i="22"/>
  <c r="P66" i="22" s="1"/>
  <c r="AG92" i="13"/>
  <c r="I66" i="22"/>
  <c r="AJ92" i="13" s="1"/>
  <c r="X67" i="22"/>
  <c r="Y67" i="22"/>
  <c r="Z67" i="22" s="1"/>
  <c r="AA67" i="22" s="1"/>
  <c r="AB67" i="22" s="1"/>
  <c r="AC67" i="22" s="1"/>
  <c r="AD67" i="22" s="1"/>
  <c r="AE67" i="22" s="1"/>
  <c r="AD68" i="22"/>
  <c r="AE68" i="22" s="1"/>
  <c r="Y46" i="22"/>
  <c r="Z46" i="22" s="1"/>
  <c r="AA46" i="22" s="1"/>
  <c r="AB46" i="22" s="1"/>
  <c r="AC46" i="22" s="1"/>
  <c r="AD46" i="22" s="1"/>
  <c r="AE46" i="22" s="1"/>
  <c r="X46" i="22"/>
  <c r="I18" i="22"/>
  <c r="AJ16" i="13" s="1"/>
  <c r="I72" i="22"/>
  <c r="AJ98" i="13" s="1"/>
  <c r="J72" i="22"/>
  <c r="K72" i="22" s="1"/>
  <c r="J39" i="22"/>
  <c r="K39" i="22" s="1"/>
  <c r="I39" i="22"/>
  <c r="AJ50" i="13" s="1"/>
  <c r="J40" i="22"/>
  <c r="K40" i="22" s="1"/>
  <c r="Y12" i="22"/>
  <c r="Z12" i="22" s="1"/>
  <c r="AA12" i="22" s="1"/>
  <c r="AB12" i="22" s="1"/>
  <c r="AC12" i="22" s="1"/>
  <c r="AD12" i="22" s="1"/>
  <c r="AE12" i="22" s="1"/>
  <c r="X12" i="22"/>
  <c r="AN20" i="22"/>
  <c r="AO20" i="22" s="1"/>
  <c r="AP20" i="22" s="1"/>
  <c r="AQ20" i="22" s="1"/>
  <c r="AR20" i="22" s="1"/>
  <c r="AS20" i="22" s="1"/>
  <c r="AT20" i="22" s="1"/>
  <c r="AM20" i="22"/>
  <c r="AJ38" i="13" s="1"/>
  <c r="Y63" i="22"/>
  <c r="Z63" i="22" s="1"/>
  <c r="AA63" i="22" s="1"/>
  <c r="AB63" i="22" s="1"/>
  <c r="AC63" i="22" s="1"/>
  <c r="AD63" i="22" s="1"/>
  <c r="AE63" i="22" s="1"/>
  <c r="X63" i="22"/>
  <c r="AN46" i="22"/>
  <c r="AO46" i="22" s="1"/>
  <c r="AP46" i="22" s="1"/>
  <c r="AQ46" i="22" s="1"/>
  <c r="AR46" i="22" s="1"/>
  <c r="AS46" i="22" s="1"/>
  <c r="AT46" i="22" s="1"/>
  <c r="AM46" i="22"/>
  <c r="AJ77" i="13" s="1"/>
  <c r="AD70" i="22"/>
  <c r="AE70" i="22" s="1"/>
  <c r="AD14" i="22"/>
  <c r="AE14" i="22" s="1"/>
  <c r="AD19" i="22"/>
  <c r="AE19" i="22" s="1"/>
  <c r="Y69" i="22"/>
  <c r="Z69" i="22" s="1"/>
  <c r="AA69" i="22" s="1"/>
  <c r="AB69" i="22" s="1"/>
  <c r="AC69" i="22" s="1"/>
  <c r="AD69" i="22" s="1"/>
  <c r="AE69" i="22" s="1"/>
  <c r="X69" i="22"/>
  <c r="J19" i="22"/>
  <c r="K19" i="22" s="1"/>
  <c r="I19" i="22"/>
  <c r="AJ17" i="13" s="1"/>
  <c r="AN42" i="22"/>
  <c r="AO42" i="22" s="1"/>
  <c r="AP42" i="22" s="1"/>
  <c r="AQ42" i="22" s="1"/>
  <c r="AR42" i="22" s="1"/>
  <c r="AS42" i="22" s="1"/>
  <c r="AT42" i="22" s="1"/>
  <c r="AM42" i="22"/>
  <c r="AJ73" i="13" s="1"/>
  <c r="Y41" i="22"/>
  <c r="Z41" i="22" s="1"/>
  <c r="AA41" i="22" s="1"/>
  <c r="AB41" i="22" s="1"/>
  <c r="AC41" i="22" s="1"/>
  <c r="AD41" i="22" s="1"/>
  <c r="AE41" i="22" s="1"/>
  <c r="X41" i="22"/>
  <c r="X45" i="22"/>
  <c r="Y45" i="22"/>
  <c r="Z45" i="22" s="1"/>
  <c r="AA45" i="22" s="1"/>
  <c r="AB45" i="22" s="1"/>
  <c r="AC45" i="22" s="1"/>
  <c r="AD45" i="22" s="1"/>
  <c r="AE45" i="22" s="1"/>
  <c r="AN63" i="22"/>
  <c r="AO63" i="22" s="1"/>
  <c r="AP63" i="22" s="1"/>
  <c r="AQ63" i="22" s="1"/>
  <c r="AR63" i="22" s="1"/>
  <c r="AS63" i="22" s="1"/>
  <c r="AT63" i="22" s="1"/>
  <c r="AM63" i="22"/>
  <c r="AJ109" i="13" s="1"/>
  <c r="J65" i="22"/>
  <c r="K65" i="22" s="1"/>
  <c r="I65" i="22"/>
  <c r="AJ91" i="13" s="1"/>
  <c r="J41" i="22"/>
  <c r="K41" i="22" s="1"/>
  <c r="AD66" i="22"/>
  <c r="AE66" i="22" s="1"/>
  <c r="Y40" i="22"/>
  <c r="Z40" i="22" s="1"/>
  <c r="AA40" i="22" s="1"/>
  <c r="AB40" i="22" s="1"/>
  <c r="AC40" i="22" s="1"/>
  <c r="AD40" i="22" s="1"/>
  <c r="AE40" i="22" s="1"/>
  <c r="X40" i="22"/>
  <c r="Y42" i="22"/>
  <c r="Z42" i="22" s="1"/>
  <c r="AA42" i="22" s="1"/>
  <c r="AB42" i="22" s="1"/>
  <c r="AC42" i="22" s="1"/>
  <c r="AD42" i="22" s="1"/>
  <c r="AE42" i="22" s="1"/>
  <c r="X42" i="22"/>
  <c r="J67" i="22"/>
  <c r="K67" i="22" s="1"/>
  <c r="I67" i="22"/>
  <c r="AJ93" i="13" s="1"/>
  <c r="AZ20" i="22"/>
  <c r="AZ21" i="22"/>
  <c r="AZ19" i="22"/>
  <c r="BI12" i="22" l="1"/>
  <c r="AJ97" i="13"/>
  <c r="AJ87" i="13"/>
  <c r="BH12" i="22"/>
  <c r="L12" i="22"/>
  <c r="M12" i="22" s="1"/>
  <c r="N12" i="22" s="1"/>
  <c r="O12" i="22" s="1"/>
  <c r="P12" i="22" s="1"/>
  <c r="L15" i="22"/>
  <c r="M15" i="22" s="1"/>
  <c r="N15" i="22" s="1"/>
  <c r="O15" i="22" s="1"/>
  <c r="P15" i="22" s="1"/>
  <c r="L19" i="22"/>
  <c r="M19" i="22" s="1"/>
  <c r="N19" i="22" s="1"/>
  <c r="O19" i="22" s="1"/>
  <c r="P19" i="22" s="1"/>
  <c r="L41" i="22"/>
  <c r="M41" i="22" s="1"/>
  <c r="N41" i="22" s="1"/>
  <c r="O41" i="22" s="1"/>
  <c r="P41" i="22" s="1"/>
  <c r="L18" i="22"/>
  <c r="M18" i="22" s="1"/>
  <c r="N18" i="22" s="1"/>
  <c r="O18" i="22" s="1"/>
  <c r="P18" i="22" s="1"/>
  <c r="L40" i="22"/>
  <c r="M40" i="22" s="1"/>
  <c r="N40" i="22" s="1"/>
  <c r="O40" i="22" s="1"/>
  <c r="P40" i="22" s="1"/>
  <c r="L39" i="22"/>
  <c r="M39" i="22" s="1"/>
  <c r="N39" i="22" s="1"/>
  <c r="O39" i="22" s="1"/>
  <c r="P39" i="22" s="1"/>
  <c r="L72" i="22"/>
  <c r="M72" i="22" s="1"/>
  <c r="N72" i="22" s="1"/>
  <c r="O72" i="22" s="1"/>
  <c r="P72" i="22" s="1"/>
  <c r="L69" i="22"/>
  <c r="M69" i="22" s="1"/>
  <c r="N69" i="22" s="1"/>
  <c r="O69" i="22" s="1"/>
  <c r="P69" i="22" s="1"/>
  <c r="L68" i="22"/>
  <c r="M68" i="22" s="1"/>
  <c r="N68" i="22" s="1"/>
  <c r="O68" i="22" s="1"/>
  <c r="P68" i="22" s="1"/>
  <c r="I102" i="22"/>
  <c r="L67" i="22"/>
  <c r="M67" i="22" s="1"/>
  <c r="N67" i="22" s="1"/>
  <c r="O67" i="22" s="1"/>
  <c r="P67" i="22" s="1"/>
  <c r="I103" i="22"/>
  <c r="L65" i="22"/>
  <c r="M65" i="22" s="1"/>
  <c r="N65" i="22" s="1"/>
  <c r="O65" i="22" s="1"/>
  <c r="P65" i="22" s="1"/>
  <c r="X102" i="22"/>
  <c r="X103" i="22"/>
  <c r="AE102" i="22"/>
  <c r="AE103" i="22"/>
  <c r="AT103" i="22"/>
  <c r="AT102" i="22"/>
  <c r="AM103" i="22"/>
  <c r="AM102" i="22"/>
  <c r="BJ12" i="22" l="1"/>
  <c r="P102" i="22"/>
  <c r="P103" i="22"/>
  <c r="O65" i="1" l="1"/>
</calcChain>
</file>

<file path=xl/sharedStrings.xml><?xml version="1.0" encoding="utf-8"?>
<sst xmlns="http://schemas.openxmlformats.org/spreadsheetml/2006/main" count="465" uniqueCount="123">
  <si>
    <t>Volumen tubo</t>
  </si>
  <si>
    <t>Longitud</t>
  </si>
  <si>
    <t>aceleración gravedad</t>
  </si>
  <si>
    <t>Diámetro</t>
  </si>
  <si>
    <t>Área</t>
  </si>
  <si>
    <t>viscosidad cinemática a 20º</t>
  </si>
  <si>
    <t>Sin Tornillos</t>
  </si>
  <si>
    <t>El diámetro interior de las tuberías el normalizado. Son tuberías PN10.</t>
  </si>
  <si>
    <t xml:space="preserve">Q (m3/h) </t>
  </si>
  <si>
    <t>Hf (kPa)</t>
  </si>
  <si>
    <t>La tubería DN250 tiene 540 tornillos y la DN300, 630</t>
  </si>
  <si>
    <t>PN</t>
  </si>
  <si>
    <t>DN</t>
  </si>
  <si>
    <t>Dinterior</t>
  </si>
  <si>
    <t>Tornillos circulo</t>
  </si>
  <si>
    <t>Nº total tornillos</t>
  </si>
  <si>
    <t>Volumen tornillos (mm3)</t>
  </si>
  <si>
    <t>%de la luz total</t>
  </si>
  <si>
    <t>%sección circular</t>
  </si>
  <si>
    <t>Características de los tornillos</t>
  </si>
  <si>
    <t>% tornillos</t>
  </si>
  <si>
    <t>depth (mm)</t>
  </si>
  <si>
    <t>mm3</t>
  </si>
  <si>
    <t>No total de tornillos</t>
  </si>
  <si>
    <t>Tornillos por círcunferencia</t>
  </si>
  <si>
    <t>25%_Tornillos 20 mm</t>
  </si>
  <si>
    <t>25%_Tornillos 30 mm</t>
  </si>
  <si>
    <t>25%_Tornillos 40 mm</t>
  </si>
  <si>
    <t xml:space="preserve">número de secciones con tornillos </t>
  </si>
  <si>
    <t>Diámetro tornillo rosca</t>
  </si>
  <si>
    <t>mm</t>
  </si>
  <si>
    <t>Diámetro interior tubería</t>
  </si>
  <si>
    <t>Circunferencia</t>
  </si>
  <si>
    <t>Distancia entre tornillos</t>
  </si>
  <si>
    <t>área tornillo rosca</t>
  </si>
  <si>
    <t>mm2</t>
  </si>
  <si>
    <t>m2</t>
  </si>
  <si>
    <t>Area todos</t>
  </si>
  <si>
    <t>50%_Tornillos 20 mm</t>
  </si>
  <si>
    <t>50%_Tornillos 30 mm</t>
  </si>
  <si>
    <t>50%_Tornillos 40 mm</t>
  </si>
  <si>
    <t>Volumen Todos a 40mm</t>
  </si>
  <si>
    <t>m3</t>
  </si>
  <si>
    <t xml:space="preserve">Volumen todos a 30mm </t>
  </si>
  <si>
    <t>Volumen todos a 20mm</t>
  </si>
  <si>
    <t>75%_Tornillos 20 mm</t>
  </si>
  <si>
    <t>75%_Tornillos 30 mm</t>
  </si>
  <si>
    <t>75%_Tornillos 40 mm</t>
  </si>
  <si>
    <t>U(q)</t>
  </si>
  <si>
    <t>U(Hf)</t>
  </si>
  <si>
    <t>V (m/s)</t>
  </si>
  <si>
    <t>Re</t>
  </si>
  <si>
    <t>f</t>
  </si>
  <si>
    <t>Ecuación de Hazzen Williams. C factor de fricción. solo es válido para tuberías de fundición y acero.Tuberías con velocidades &lt; 3m/s. Régimen laminar</t>
  </si>
  <si>
    <t>Ecuación de Darcy Weisbach</t>
  </si>
  <si>
    <t>h=f*L/D*(v^2)/(2*g)</t>
  </si>
  <si>
    <t>f^0.5</t>
  </si>
  <si>
    <t>1/f^0.5</t>
  </si>
  <si>
    <t>10^(1/f^0.5)</t>
  </si>
  <si>
    <t>(1/10^(1/f^0.5))^0.5</t>
  </si>
  <si>
    <t>(1/10^(1/f^0.5))</t>
  </si>
  <si>
    <t>(1/10^(1/f^0.5))^0.5-(2.51/(Re*f^0.5))</t>
  </si>
  <si>
    <t>Rugosidad absoluta (mm)</t>
  </si>
  <si>
    <t>Para este trabajo se utilizará la fórmula siguiente para obtener la rugosidad absoluta, e,</t>
  </si>
  <si>
    <t>x</t>
  </si>
  <si>
    <t>2ª Karmann Prand</t>
  </si>
  <si>
    <t>Rugosidad abso (mm)</t>
  </si>
  <si>
    <t>SD</t>
  </si>
  <si>
    <t>Régimen turbulento liso: Re &gt; 10000</t>
  </si>
  <si>
    <t>Régimen turbulento intermedio: 10000 &lt; Re &lt; 50000</t>
  </si>
  <si>
    <t>Régimen turbulento rugoso: Re &gt; 50000</t>
  </si>
  <si>
    <t>DN200PN16</t>
  </si>
  <si>
    <t>Tornillos</t>
  </si>
  <si>
    <t>No</t>
  </si>
  <si>
    <t>25%-20</t>
  </si>
  <si>
    <t>25%-30</t>
  </si>
  <si>
    <t>25%-40</t>
  </si>
  <si>
    <t>50%-20mm</t>
  </si>
  <si>
    <t>50%-40mm</t>
  </si>
  <si>
    <t>50%-30mm</t>
  </si>
  <si>
    <t>75%-20mm</t>
  </si>
  <si>
    <t>75%-30mm</t>
  </si>
  <si>
    <t>75%-40mm</t>
  </si>
  <si>
    <t>100%-20mm</t>
  </si>
  <si>
    <t>100%-30mm</t>
  </si>
  <si>
    <t>100%-40mm</t>
  </si>
  <si>
    <t>DN250PN10</t>
  </si>
  <si>
    <t>DN300PN10</t>
  </si>
  <si>
    <t>Hf DN300(kPa)</t>
  </si>
  <si>
    <t>Hf DN250(kPa)</t>
  </si>
  <si>
    <t>Hf DN200 (kPa)</t>
  </si>
  <si>
    <t>Repetidos</t>
  </si>
  <si>
    <t>Es un hecho demostrado que la rugosidad relativa no influye sobre f en régimen laminar (Re &lt; 2000), ya que el rozamiento se debe fundamentalmente a la fricción de unas capas de fluido sobre otras y no de éstas sobre las paredes de la tubería. Sin embargo, para Re &gt; 2000 las cosas cambian y la rugosidad relativa adquiere notable importancia.</t>
  </si>
  <si>
    <t>DN300PN10-2ª TANDA</t>
  </si>
  <si>
    <t>DN300PN10-CENTERII</t>
  </si>
  <si>
    <t>CENTERIII</t>
  </si>
  <si>
    <t>CENTERII-2</t>
  </si>
  <si>
    <t>Cambia el sensor de medida de presión. Hasat ahora era de 5 ahora es de 50</t>
  </si>
  <si>
    <t>Erróneos</t>
  </si>
  <si>
    <t>ERRÓNEOS</t>
  </si>
  <si>
    <t>CORRECTOS</t>
  </si>
  <si>
    <t>Rugosidad Absoluta</t>
  </si>
  <si>
    <t>Promedio</t>
  </si>
  <si>
    <t>Rugosidad absoluta</t>
  </si>
  <si>
    <t>SD Rug Abs</t>
  </si>
  <si>
    <t>31 tornillos por círculo</t>
  </si>
  <si>
    <t>21 hileras de círculos</t>
  </si>
  <si>
    <t>K (mm)</t>
  </si>
  <si>
    <t>DE_k(mm)</t>
  </si>
  <si>
    <t>Extremely high</t>
  </si>
  <si>
    <t>Very high</t>
  </si>
  <si>
    <t>High</t>
  </si>
  <si>
    <t>Moderate-high</t>
  </si>
  <si>
    <t>Moderate</t>
  </si>
  <si>
    <t>CV</t>
  </si>
  <si>
    <t>DN200 PN16</t>
  </si>
  <si>
    <t>Volumen tornillos (dm3)</t>
  </si>
  <si>
    <t>DN300 PN10</t>
  </si>
  <si>
    <t>DN250 PN10</t>
  </si>
  <si>
    <t>Circunferencia interior</t>
  </si>
  <si>
    <t>Este valor es un poco extremo</t>
  </si>
  <si>
    <t>Rugosidad Relativa</t>
  </si>
  <si>
    <t>Correctos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</si>
</sst>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64" formatCode="0.0"/>
    <numFmt numFmtId="165" formatCode="0.000000"/>
    <numFmt numFmtId="166" formatCode="0.000"/>
    <numFmt numFmtId="167" formatCode="0.00000"/>
    <numFmt numFmtId="168" formatCode="0.0000"/>
  </numFmts>
  <fonts count="11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 Light"/>
      <family val="2"/>
      <scheme val="major"/>
    </font>
    <font>
      <b/>
      <sz val="10"/>
      <color theme="1"/>
      <name val="Calibri"/>
      <family val="2"/>
      <scheme val="minor"/>
    </font>
    <font>
      <sz val="11"/>
      <color rgb="FF1F497D"/>
      <name val="Calibri Light"/>
      <family val="2"/>
    </font>
    <font>
      <b/>
      <sz val="10"/>
      <name val="Calibri"/>
      <family val="2"/>
      <scheme val="minor"/>
    </font>
    <font>
      <b/>
      <sz val="12"/>
      <color theme="1"/>
      <name val="Calibri Light"/>
      <family val="2"/>
      <scheme val="major"/>
    </font>
    <font>
      <sz val="10"/>
      <name val="Arial"/>
      <family val="2"/>
      <charset val="1"/>
    </font>
    <font>
      <b/>
      <sz val="10"/>
      <color theme="1"/>
      <name val="Calibri Light"/>
      <family val="2"/>
      <scheme val="major"/>
    </font>
    <font>
      <sz val="12"/>
      <color rgb="FF374151"/>
      <name val="Segoe UI"/>
      <family val="2"/>
    </font>
    <font>
      <b/>
      <sz val="11"/>
      <color theme="1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C04EA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EB0F8"/>
        <bgColor indexed="64"/>
      </patternFill>
    </fill>
    <fill>
      <patternFill patternType="solid">
        <fgColor theme="0" tint="-4.9989318521683403E-2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7" fillId="0" borderId="0"/>
  </cellStyleXfs>
  <cellXfs count="83">
    <xf numFmtId="0" fontId="0" fillId="0" borderId="0" xfId="0"/>
    <xf numFmtId="0" fontId="2" fillId="0" borderId="0" xfId="0" applyFont="1"/>
    <xf numFmtId="0" fontId="4" fillId="0" borderId="0" xfId="0" applyFont="1"/>
    <xf numFmtId="0" fontId="5" fillId="3" borderId="1" xfId="0" applyFont="1" applyFill="1" applyBorder="1" applyAlignment="1" applyProtection="1">
      <alignment horizontal="center" vertical="center"/>
    </xf>
    <xf numFmtId="0" fontId="5" fillId="3" borderId="1" xfId="0" applyFont="1" applyFill="1" applyBorder="1" applyAlignment="1" applyProtection="1">
      <alignment horizontal="center" vertical="center" wrapText="1"/>
    </xf>
    <xf numFmtId="2" fontId="2" fillId="0" borderId="1" xfId="0" applyNumberFormat="1" applyFont="1" applyBorder="1" applyAlignment="1">
      <alignment horizontal="center"/>
    </xf>
    <xf numFmtId="0" fontId="2" fillId="4" borderId="0" xfId="0" applyFont="1" applyFill="1"/>
    <xf numFmtId="1" fontId="0" fillId="0" borderId="0" xfId="0" applyNumberFormat="1"/>
    <xf numFmtId="2" fontId="0" fillId="0" borderId="0" xfId="0" applyNumberFormat="1"/>
    <xf numFmtId="164" fontId="0" fillId="0" borderId="0" xfId="0" applyNumberFormat="1"/>
    <xf numFmtId="0" fontId="6" fillId="0" borderId="0" xfId="0" applyFont="1"/>
    <xf numFmtId="165" fontId="6" fillId="0" borderId="0" xfId="0" applyNumberFormat="1" applyFont="1"/>
    <xf numFmtId="0" fontId="3" fillId="0" borderId="0" xfId="0" applyFont="1" applyFill="1" applyBorder="1" applyAlignment="1"/>
    <xf numFmtId="0" fontId="5" fillId="0" borderId="0" xfId="0" applyFont="1" applyFill="1" applyBorder="1" applyAlignment="1" applyProtection="1">
      <alignment horizontal="center" vertical="center"/>
    </xf>
    <xf numFmtId="2" fontId="2" fillId="0" borderId="0" xfId="0" applyNumberFormat="1" applyFont="1" applyBorder="1" applyAlignment="1">
      <alignment horizontal="center"/>
    </xf>
    <xf numFmtId="0" fontId="2" fillId="6" borderId="0" xfId="0" applyFont="1" applyFill="1"/>
    <xf numFmtId="166" fontId="2" fillId="0" borderId="1" xfId="0" applyNumberFormat="1" applyFont="1" applyBorder="1" applyAlignment="1">
      <alignment horizontal="center"/>
    </xf>
    <xf numFmtId="167" fontId="2" fillId="0" borderId="0" xfId="0" applyNumberFormat="1" applyFont="1"/>
    <xf numFmtId="0" fontId="7" fillId="0" borderId="0" xfId="2"/>
    <xf numFmtId="0" fontId="3" fillId="5" borderId="0" xfId="0" applyFont="1" applyFill="1" applyBorder="1" applyAlignment="1">
      <alignment horizontal="center"/>
    </xf>
    <xf numFmtId="0" fontId="3" fillId="2" borderId="0" xfId="0" applyFont="1" applyFill="1" applyBorder="1" applyAlignment="1">
      <alignment horizontal="center"/>
    </xf>
    <xf numFmtId="0" fontId="5" fillId="3" borderId="0" xfId="0" applyFont="1" applyFill="1" applyBorder="1" applyAlignment="1" applyProtection="1">
      <alignment horizontal="center" vertical="center"/>
    </xf>
    <xf numFmtId="166" fontId="2" fillId="0" borderId="0" xfId="0" applyNumberFormat="1" applyFont="1" applyBorder="1" applyAlignment="1">
      <alignment horizontal="center"/>
    </xf>
    <xf numFmtId="0" fontId="8" fillId="0" borderId="0" xfId="0" applyFont="1"/>
    <xf numFmtId="2" fontId="2" fillId="0" borderId="0" xfId="0" applyNumberFormat="1" applyFont="1"/>
    <xf numFmtId="164" fontId="2" fillId="0" borderId="0" xfId="0" applyNumberFormat="1" applyFont="1"/>
    <xf numFmtId="1" fontId="2" fillId="0" borderId="1" xfId="0" applyNumberFormat="1" applyFont="1" applyBorder="1" applyAlignment="1">
      <alignment horizontal="center"/>
    </xf>
    <xf numFmtId="0" fontId="0" fillId="0" borderId="0" xfId="0" applyAlignment="1">
      <alignment wrapText="1"/>
    </xf>
    <xf numFmtId="167" fontId="2" fillId="0" borderId="1" xfId="0" applyNumberFormat="1" applyFont="1" applyBorder="1" applyAlignment="1">
      <alignment horizontal="center"/>
    </xf>
    <xf numFmtId="1" fontId="2" fillId="0" borderId="0" xfId="0" applyNumberFormat="1" applyFont="1" applyBorder="1" applyAlignment="1">
      <alignment horizontal="center"/>
    </xf>
    <xf numFmtId="2" fontId="8" fillId="0" borderId="1" xfId="0" applyNumberFormat="1" applyFont="1" applyBorder="1" applyAlignment="1">
      <alignment horizontal="center"/>
    </xf>
    <xf numFmtId="2" fontId="8" fillId="0" borderId="0" xfId="0" applyNumberFormat="1" applyFont="1"/>
    <xf numFmtId="166" fontId="8" fillId="0" borderId="1" xfId="0" applyNumberFormat="1" applyFont="1" applyBorder="1" applyAlignment="1">
      <alignment horizontal="center"/>
    </xf>
    <xf numFmtId="164" fontId="8" fillId="0" borderId="0" xfId="0" applyNumberFormat="1" applyFont="1"/>
    <xf numFmtId="166" fontId="8" fillId="0" borderId="0" xfId="0" applyNumberFormat="1" applyFont="1"/>
    <xf numFmtId="167" fontId="8" fillId="0" borderId="0" xfId="0" applyNumberFormat="1" applyFont="1"/>
    <xf numFmtId="165" fontId="2" fillId="0" borderId="0" xfId="0" applyNumberFormat="1" applyFont="1"/>
    <xf numFmtId="168" fontId="2" fillId="0" borderId="0" xfId="0" applyNumberFormat="1" applyFont="1"/>
    <xf numFmtId="1" fontId="8" fillId="0" borderId="1" xfId="0" applyNumberFormat="1" applyFont="1" applyBorder="1" applyAlignment="1">
      <alignment horizontal="center"/>
    </xf>
    <xf numFmtId="1" fontId="8" fillId="0" borderId="0" xfId="0" applyNumberFormat="1" applyFont="1" applyBorder="1" applyAlignment="1">
      <alignment horizontal="center"/>
    </xf>
    <xf numFmtId="166" fontId="8" fillId="0" borderId="0" xfId="0" applyNumberFormat="1" applyFont="1" applyBorder="1" applyAlignment="1">
      <alignment horizontal="center"/>
    </xf>
    <xf numFmtId="2" fontId="8" fillId="0" borderId="0" xfId="0" applyNumberFormat="1" applyFont="1" applyBorder="1" applyAlignment="1">
      <alignment horizontal="center"/>
    </xf>
    <xf numFmtId="164" fontId="6" fillId="0" borderId="0" xfId="0" applyNumberFormat="1" applyFont="1"/>
    <xf numFmtId="0" fontId="9" fillId="0" borderId="0" xfId="0" applyFont="1" applyAlignment="1">
      <alignment horizontal="left" vertical="center" indent="1"/>
    </xf>
    <xf numFmtId="9" fontId="0" fillId="0" borderId="0" xfId="0" applyNumberFormat="1"/>
    <xf numFmtId="0" fontId="3" fillId="2" borderId="1" xfId="0" applyFont="1" applyFill="1" applyBorder="1" applyAlignment="1">
      <alignment horizontal="center"/>
    </xf>
    <xf numFmtId="166" fontId="0" fillId="0" borderId="0" xfId="0" applyNumberFormat="1"/>
    <xf numFmtId="2" fontId="2" fillId="7" borderId="1" xfId="0" applyNumberFormat="1" applyFont="1" applyFill="1" applyBorder="1" applyAlignment="1">
      <alignment horizontal="center"/>
    </xf>
    <xf numFmtId="2" fontId="2" fillId="7" borderId="2" xfId="0" applyNumberFormat="1" applyFont="1" applyFill="1" applyBorder="1" applyAlignment="1">
      <alignment horizontal="center"/>
    </xf>
    <xf numFmtId="0" fontId="0" fillId="8" borderId="0" xfId="0" applyFill="1"/>
    <xf numFmtId="0" fontId="0" fillId="9" borderId="0" xfId="0" applyFill="1"/>
    <xf numFmtId="0" fontId="0" fillId="10" borderId="0" xfId="0" applyFill="1"/>
    <xf numFmtId="0" fontId="0" fillId="7" borderId="0" xfId="0" applyFill="1"/>
    <xf numFmtId="0" fontId="0" fillId="11" borderId="0" xfId="0" applyFill="1"/>
    <xf numFmtId="2" fontId="2" fillId="7" borderId="0" xfId="0" applyNumberFormat="1" applyFont="1" applyFill="1" applyBorder="1" applyAlignment="1">
      <alignment horizontal="center"/>
    </xf>
    <xf numFmtId="167" fontId="2" fillId="0" borderId="0" xfId="0" applyNumberFormat="1" applyFont="1" applyBorder="1" applyAlignment="1">
      <alignment horizontal="center"/>
    </xf>
    <xf numFmtId="166" fontId="2" fillId="4" borderId="1" xfId="0" applyNumberFormat="1" applyFont="1" applyFill="1" applyBorder="1" applyAlignment="1">
      <alignment horizontal="center"/>
    </xf>
    <xf numFmtId="164" fontId="0" fillId="0" borderId="0" xfId="0" applyNumberFormat="1" applyFont="1"/>
    <xf numFmtId="0" fontId="0" fillId="0" borderId="0" xfId="0" applyFill="1"/>
    <xf numFmtId="1" fontId="0" fillId="7" borderId="0" xfId="1" applyNumberFormat="1" applyFont="1" applyFill="1"/>
    <xf numFmtId="1" fontId="0" fillId="7" borderId="0" xfId="0" applyNumberFormat="1" applyFill="1"/>
    <xf numFmtId="2" fontId="0" fillId="7" borderId="0" xfId="0" applyNumberFormat="1" applyFill="1"/>
    <xf numFmtId="1" fontId="6" fillId="0" borderId="0" xfId="0" applyNumberFormat="1" applyFont="1"/>
    <xf numFmtId="2" fontId="6" fillId="0" borderId="0" xfId="0" applyNumberFormat="1" applyFont="1"/>
    <xf numFmtId="2" fontId="2" fillId="7" borderId="0" xfId="0" applyNumberFormat="1" applyFont="1" applyFill="1"/>
    <xf numFmtId="0" fontId="0" fillId="0" borderId="0" xfId="0" applyFont="1"/>
    <xf numFmtId="0" fontId="10" fillId="0" borderId="0" xfId="0" applyFont="1"/>
    <xf numFmtId="167" fontId="10" fillId="0" borderId="0" xfId="0" applyNumberFormat="1" applyFont="1"/>
    <xf numFmtId="165" fontId="10" fillId="0" borderId="0" xfId="0" applyNumberFormat="1" applyFont="1"/>
    <xf numFmtId="165" fontId="0" fillId="0" borderId="0" xfId="0" applyNumberFormat="1" applyFont="1"/>
    <xf numFmtId="164" fontId="10" fillId="0" borderId="0" xfId="0" applyNumberFormat="1" applyFont="1"/>
    <xf numFmtId="2" fontId="0" fillId="0" borderId="0" xfId="0" applyNumberFormat="1" applyFont="1"/>
    <xf numFmtId="1" fontId="0" fillId="0" borderId="0" xfId="0" applyNumberFormat="1" applyFont="1"/>
    <xf numFmtId="0" fontId="2" fillId="0" borderId="0" xfId="0" applyFont="1" applyFill="1"/>
    <xf numFmtId="2" fontId="0" fillId="4" borderId="0" xfId="0" applyNumberFormat="1" applyFont="1" applyFill="1"/>
    <xf numFmtId="0" fontId="0" fillId="12" borderId="0" xfId="0" applyFill="1"/>
    <xf numFmtId="0" fontId="0" fillId="13" borderId="0" xfId="0" applyFill="1"/>
    <xf numFmtId="2" fontId="0" fillId="13" borderId="0" xfId="0" applyNumberFormat="1" applyFill="1"/>
    <xf numFmtId="166" fontId="0" fillId="13" borderId="0" xfId="0" applyNumberFormat="1" applyFill="1"/>
    <xf numFmtId="9" fontId="0" fillId="13" borderId="0" xfId="0" applyNumberFormat="1" applyFill="1"/>
    <xf numFmtId="9" fontId="3" fillId="5" borderId="1" xfId="0" applyNumberFormat="1" applyFont="1" applyFill="1" applyBorder="1" applyAlignment="1">
      <alignment horizontal="center"/>
    </xf>
    <xf numFmtId="0" fontId="3" fillId="5" borderId="1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/>
    </xf>
  </cellXfs>
  <cellStyles count="3">
    <cellStyle name="Normal" xfId="0" builtinId="0"/>
    <cellStyle name="Normal 2" xfId="2"/>
    <cellStyle name="Porcentaje" xfId="1" builtinId="5"/>
  </cellStyles>
  <dxfs count="0"/>
  <tableStyles count="0" defaultTableStyle="TableStyleMedium2" defaultPivotStyle="PivotStyleLight16"/>
  <colors>
    <mruColors>
      <color rgb="FFFEB0F8"/>
      <color rgb="FF68E5FE"/>
      <color rgb="FFFC04EA"/>
      <color rgb="FF6DF9A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chartsheet" Target="chartsheets/sheet1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3.xml"/><Relationship Id="rId4" Type="http://schemas.openxmlformats.org/officeDocument/2006/relationships/chartsheet" Target="chartsheets/sheet2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458730136895617E-2"/>
          <c:y val="2.8286665484910743E-2"/>
          <c:w val="0.88512789419068405"/>
          <c:h val="0.84430996032786165"/>
        </c:manualLayout>
      </c:layout>
      <c:scatterChart>
        <c:scatterStyle val="lineMarker"/>
        <c:varyColors val="0"/>
        <c:ser>
          <c:idx val="9"/>
          <c:order val="0"/>
          <c:tx>
            <c:v>DN300PN10-25%-30mm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C04EA"/>
              </a:solidFill>
              <a:ln w="9525">
                <a:solidFill>
                  <a:srgbClr val="FC04EA"/>
                </a:solidFill>
              </a:ln>
              <a:effectLst/>
            </c:spPr>
          </c:marker>
          <c:xVal>
            <c:numRef>
              <c:f>'DN300 PN10_Center III'!$Q$12:$Q$32</c:f>
              <c:numCache>
                <c:formatCode>0.000</c:formatCode>
                <c:ptCount val="21"/>
                <c:pt idx="0">
                  <c:v>0.39798260794361989</c:v>
                </c:pt>
                <c:pt idx="1">
                  <c:v>0.40059518523865456</c:v>
                </c:pt>
                <c:pt idx="2">
                  <c:v>0.79683607498558462</c:v>
                </c:pt>
                <c:pt idx="3">
                  <c:v>0.79248177949386012</c:v>
                </c:pt>
                <c:pt idx="4" formatCode="0.00">
                  <c:v>0</c:v>
                </c:pt>
                <c:pt idx="5" formatCode="0.00">
                  <c:v>0</c:v>
                </c:pt>
                <c:pt idx="6" formatCode="0.00">
                  <c:v>2.3452235518428188</c:v>
                </c:pt>
                <c:pt idx="7" formatCode="0.00">
                  <c:v>2.3513195655312331</c:v>
                </c:pt>
                <c:pt idx="8" formatCode="0.00">
                  <c:v>3.0480068442071544</c:v>
                </c:pt>
                <c:pt idx="9" formatCode="0.00">
                  <c:v>3.0523611396988786</c:v>
                </c:pt>
                <c:pt idx="10" formatCode="0.00">
                  <c:v>3.8970944650934332</c:v>
                </c:pt>
                <c:pt idx="11" formatCode="0.00">
                  <c:v>3.9145116470603312</c:v>
                </c:pt>
                <c:pt idx="12" formatCode="0.00">
                  <c:v>5.1859659306438868</c:v>
                </c:pt>
                <c:pt idx="13" formatCode="0.00">
                  <c:v>5.207737408102509</c:v>
                </c:pt>
                <c:pt idx="14" formatCode="0.00">
                  <c:v>0</c:v>
                </c:pt>
                <c:pt idx="15" formatCode="0.00">
                  <c:v>6.6925521707805657</c:v>
                </c:pt>
                <c:pt idx="16" formatCode="0.00">
                  <c:v>7.9465892723972233</c:v>
                </c:pt>
                <c:pt idx="17" formatCode="0.00">
                  <c:v>7.9204634994468774</c:v>
                </c:pt>
                <c:pt idx="18" formatCode="0.00">
                  <c:v>0</c:v>
                </c:pt>
                <c:pt idx="19" formatCode="0.00">
                  <c:v>0</c:v>
                </c:pt>
                <c:pt idx="20" formatCode="0.00">
                  <c:v>0</c:v>
                </c:pt>
              </c:numCache>
            </c:numRef>
          </c:xVal>
          <c:yVal>
            <c:numRef>
              <c:f>'DN300 PN10_Center III'!$X$12:$X$32</c:f>
              <c:numCache>
                <c:formatCode>0.000</c:formatCode>
                <c:ptCount val="21"/>
                <c:pt idx="0">
                  <c:v>679.65469043021494</c:v>
                </c:pt>
                <c:pt idx="1">
                  <c:v>677.69780023949363</c:v>
                </c:pt>
                <c:pt idx="2">
                  <c:v>444.82183933087998</c:v>
                </c:pt>
                <c:pt idx="3">
                  <c:v>446.04275840771749</c:v>
                </c:pt>
                <c:pt idx="6">
                  <c:v>87.949758027662554</c:v>
                </c:pt>
                <c:pt idx="7">
                  <c:v>88.337154492368882</c:v>
                </c:pt>
                <c:pt idx="8">
                  <c:v>58.74551457499755</c:v>
                </c:pt>
                <c:pt idx="9">
                  <c:v>59.097166951489363</c:v>
                </c:pt>
                <c:pt idx="10">
                  <c:v>34.470714036927632</c:v>
                </c:pt>
                <c:pt idx="11">
                  <c:v>34.475249855157699</c:v>
                </c:pt>
                <c:pt idx="12">
                  <c:v>17.981825720523396</c:v>
                </c:pt>
                <c:pt idx="13">
                  <c:v>17.243138527179006</c:v>
                </c:pt>
                <c:pt idx="15">
                  <c:v>15.889962185039026</c:v>
                </c:pt>
                <c:pt idx="16">
                  <c:v>10.651761551520567</c:v>
                </c:pt>
                <c:pt idx="17">
                  <c:v>10.976172248677747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626-4940-82D7-F1A6E6424EB7}"/>
            </c:ext>
          </c:extLst>
        </c:ser>
        <c:ser>
          <c:idx val="1"/>
          <c:order val="1"/>
          <c:tx>
            <c:v>DN300PN10-25%-40mm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'DN300 PN10_Center III'!$AF$12:$AF$32</c:f>
              <c:numCache>
                <c:formatCode>0.000</c:formatCode>
                <c:ptCount val="21"/>
                <c:pt idx="0">
                  <c:v>0.3921761984483601</c:v>
                </c:pt>
                <c:pt idx="1">
                  <c:v>0.3921761984483601</c:v>
                </c:pt>
                <c:pt idx="2">
                  <c:v>0</c:v>
                </c:pt>
                <c:pt idx="3">
                  <c:v>0</c:v>
                </c:pt>
                <c:pt idx="4" formatCode="0.00">
                  <c:v>1.1779627696511898</c:v>
                </c:pt>
                <c:pt idx="5" formatCode="0.00">
                  <c:v>1.1779627696511898</c:v>
                </c:pt>
                <c:pt idx="6" formatCode="0.00">
                  <c:v>0</c:v>
                </c:pt>
                <c:pt idx="7" formatCode="0.00">
                  <c:v>0</c:v>
                </c:pt>
                <c:pt idx="8" formatCode="0.00">
                  <c:v>2.3629864648717596</c:v>
                </c:pt>
                <c:pt idx="9" formatCode="0.00">
                  <c:v>2.3629864648717596</c:v>
                </c:pt>
                <c:pt idx="10" formatCode="0.00">
                  <c:v>3.0907416418811353</c:v>
                </c:pt>
                <c:pt idx="11" formatCode="0.00">
                  <c:v>3.0907416418811353</c:v>
                </c:pt>
                <c:pt idx="12" formatCode="0.00">
                  <c:v>3.9170623933593829</c:v>
                </c:pt>
                <c:pt idx="13" formatCode="0.00">
                  <c:v>3.9170623933593829</c:v>
                </c:pt>
                <c:pt idx="14" formatCode="0.00">
                  <c:v>5.2218322626092224</c:v>
                </c:pt>
                <c:pt idx="15" formatCode="0.00">
                  <c:v>5.6484095290469964</c:v>
                </c:pt>
                <c:pt idx="16" formatCode="0.00">
                  <c:v>6.5320615475465837</c:v>
                </c:pt>
                <c:pt idx="17" formatCode="0.00">
                  <c:v>6.5320615475465837</c:v>
                </c:pt>
                <c:pt idx="18" formatCode="0.00">
                  <c:v>7.4893882457661505</c:v>
                </c:pt>
                <c:pt idx="19" formatCode="0.00">
                  <c:v>7.4676167683075274</c:v>
                </c:pt>
                <c:pt idx="20" formatCode="0.00">
                  <c:v>0</c:v>
                </c:pt>
              </c:numCache>
            </c:numRef>
          </c:xVal>
          <c:yVal>
            <c:numRef>
              <c:f>'DN300 PN10_Center III'!$AT$12:$AT$32</c:f>
              <c:numCache>
                <c:formatCode>0</c:formatCode>
                <c:ptCount val="21"/>
                <c:pt idx="0">
                  <c:v>687.73111278409101</c:v>
                </c:pt>
                <c:pt idx="1">
                  <c:v>687.73111278409101</c:v>
                </c:pt>
                <c:pt idx="4">
                  <c:v>309.2161216261332</c:v>
                </c:pt>
                <c:pt idx="5">
                  <c:v>309.2161216261332</c:v>
                </c:pt>
                <c:pt idx="8">
                  <c:v>118.45964218620971</c:v>
                </c:pt>
                <c:pt idx="9">
                  <c:v>118.45964218620971</c:v>
                </c:pt>
                <c:pt idx="10">
                  <c:v>77.338602655871171</c:v>
                </c:pt>
                <c:pt idx="11">
                  <c:v>77.338602655871171</c:v>
                </c:pt>
                <c:pt idx="12">
                  <c:v>53.023130105392283</c:v>
                </c:pt>
                <c:pt idx="13">
                  <c:v>53.023130105392283</c:v>
                </c:pt>
                <c:pt idx="14">
                  <c:v>47.474458392699844</c:v>
                </c:pt>
                <c:pt idx="15">
                  <c:v>43.842178486780604</c:v>
                </c:pt>
                <c:pt idx="16">
                  <c:v>34.112840179379923</c:v>
                </c:pt>
                <c:pt idx="17">
                  <c:v>34.112840179379923</c:v>
                </c:pt>
                <c:pt idx="18">
                  <c:v>28.477857961245423</c:v>
                </c:pt>
                <c:pt idx="19">
                  <c:v>28.543046621634033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626-4940-82D7-F1A6E6424EB7}"/>
            </c:ext>
          </c:extLst>
        </c:ser>
        <c:ser>
          <c:idx val="2"/>
          <c:order val="2"/>
          <c:tx>
            <c:v>DN300PN10-50%-30mm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68E5FE"/>
              </a:solidFill>
              <a:ln w="9525">
                <a:solidFill>
                  <a:srgbClr val="68E5FE"/>
                </a:solidFill>
              </a:ln>
              <a:effectLst/>
            </c:spPr>
          </c:marker>
          <c:xVal>
            <c:numRef>
              <c:f>'DN300 PN10_Center III'!$Q$39:$Q$58</c:f>
              <c:numCache>
                <c:formatCode>0.000</c:formatCode>
                <c:ptCount val="20"/>
                <c:pt idx="0">
                  <c:v>0.39275745335355045</c:v>
                </c:pt>
                <c:pt idx="1">
                  <c:v>0.39188659425520556</c:v>
                </c:pt>
                <c:pt idx="2">
                  <c:v>0.77158116113358233</c:v>
                </c:pt>
                <c:pt idx="3">
                  <c:v>1.5283577175953016</c:v>
                </c:pt>
                <c:pt idx="4">
                  <c:v>1.5283577175953016</c:v>
                </c:pt>
                <c:pt idx="5">
                  <c:v>3.0305896622402564</c:v>
                </c:pt>
                <c:pt idx="6" formatCode="0.00">
                  <c:v>3.0305896622402564</c:v>
                </c:pt>
                <c:pt idx="7" formatCode="0.00">
                  <c:v>3.9188659425520553</c:v>
                </c:pt>
                <c:pt idx="8" formatCode="0.00">
                  <c:v>3.9188659425520553</c:v>
                </c:pt>
                <c:pt idx="9" formatCode="0.00">
                  <c:v>5.2293782566963802</c:v>
                </c:pt>
                <c:pt idx="10" formatCode="0.00">
                  <c:v>5.2293782566963802</c:v>
                </c:pt>
                <c:pt idx="11" formatCode="0.00">
                  <c:v>6.5465961858979611</c:v>
                </c:pt>
                <c:pt idx="12" formatCode="0.00">
                  <c:v>6.5465961858979611</c:v>
                </c:pt>
                <c:pt idx="13" formatCode="0.00">
                  <c:v>7.8612450807594243</c:v>
                </c:pt>
                <c:pt idx="14" formatCode="0.00">
                  <c:v>7.8612450807594243</c:v>
                </c:pt>
              </c:numCache>
            </c:numRef>
          </c:xVal>
          <c:yVal>
            <c:numRef>
              <c:f>'DN300 PN10_Center III'!$X$39:$X$58</c:f>
              <c:numCache>
                <c:formatCode>0.000</c:formatCode>
                <c:ptCount val="20"/>
                <c:pt idx="0">
                  <c:v>640.76330654505057</c:v>
                </c:pt>
                <c:pt idx="1">
                  <c:v>641.47146663879619</c:v>
                </c:pt>
                <c:pt idx="2">
                  <c:v>455.39717927679442</c:v>
                </c:pt>
                <c:pt idx="3">
                  <c:v>224.02460838268118</c:v>
                </c:pt>
                <c:pt idx="4">
                  <c:v>224.02460838268118</c:v>
                </c:pt>
                <c:pt idx="5">
                  <c:v>79.336030884040426</c:v>
                </c:pt>
                <c:pt idx="6">
                  <c:v>79.336030884040426</c:v>
                </c:pt>
                <c:pt idx="7">
                  <c:v>53.856604146700008</c:v>
                </c:pt>
                <c:pt idx="8">
                  <c:v>53.856604146700008</c:v>
                </c:pt>
                <c:pt idx="9">
                  <c:v>45.897938448246599</c:v>
                </c:pt>
                <c:pt idx="10">
                  <c:v>45.897938448246599</c:v>
                </c:pt>
                <c:pt idx="11">
                  <c:v>33.347422610392783</c:v>
                </c:pt>
                <c:pt idx="12">
                  <c:v>33.347422610392783</c:v>
                </c:pt>
                <c:pt idx="13">
                  <c:v>27.342305806502992</c:v>
                </c:pt>
                <c:pt idx="14">
                  <c:v>27.342305806502992</c:v>
                </c:pt>
                <c:pt idx="18">
                  <c:v>30.344864208447888</c:v>
                </c:pt>
                <c:pt idx="19">
                  <c:v>3.4670558032409158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F626-4940-82D7-F1A6E6424EB7}"/>
            </c:ext>
          </c:extLst>
        </c:ser>
        <c:ser>
          <c:idx val="4"/>
          <c:order val="3"/>
          <c:tx>
            <c:v>DN300PN10-50%-40mm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'DN300 PN10_Center III'!$AF$39:$AF$57</c:f>
              <c:numCache>
                <c:formatCode>0.000</c:formatCode>
                <c:ptCount val="19"/>
                <c:pt idx="0">
                  <c:v>0.40930377622210362</c:v>
                </c:pt>
                <c:pt idx="1">
                  <c:v>0.41365807171382807</c:v>
                </c:pt>
                <c:pt idx="2">
                  <c:v>0.78440064249076868</c:v>
                </c:pt>
                <c:pt idx="3">
                  <c:v>0.78440064249076868</c:v>
                </c:pt>
                <c:pt idx="4">
                  <c:v>1.1833041839308882</c:v>
                </c:pt>
                <c:pt idx="5">
                  <c:v>1.1833041839308882</c:v>
                </c:pt>
                <c:pt idx="6" formatCode="0.00">
                  <c:v>1.5621082973812075</c:v>
                </c:pt>
                <c:pt idx="7" formatCode="0.00">
                  <c:v>1.5621082973812075</c:v>
                </c:pt>
                <c:pt idx="8" formatCode="0.00">
                  <c:v>2.35849805707889</c:v>
                </c:pt>
                <c:pt idx="9" formatCode="0.00">
                  <c:v>2.35849805707889</c:v>
                </c:pt>
                <c:pt idx="10" formatCode="0.00">
                  <c:v>3.0271785071520387</c:v>
                </c:pt>
                <c:pt idx="11" formatCode="0.00">
                  <c:v>3.0271785071520387</c:v>
                </c:pt>
                <c:pt idx="12" formatCode="0.00">
                  <c:v>3.9348984585525848</c:v>
                </c:pt>
                <c:pt idx="13" formatCode="0.00">
                  <c:v>3.9348984585525848</c:v>
                </c:pt>
                <c:pt idx="14" formatCode="0.00">
                  <c:v>5.1826174774107505</c:v>
                </c:pt>
                <c:pt idx="15" formatCode="0.00">
                  <c:v>5.1826174774107505</c:v>
                </c:pt>
                <c:pt idx="16" formatCode="0.00">
                  <c:v>6.6407926602704368</c:v>
                </c:pt>
                <c:pt idx="17" formatCode="0.00">
                  <c:v>6.6407926602704368</c:v>
                </c:pt>
                <c:pt idx="18" formatCode="0.00">
                  <c:v>7.5044889425314514</c:v>
                </c:pt>
              </c:numCache>
            </c:numRef>
          </c:xVal>
          <c:yVal>
            <c:numRef>
              <c:f>'DN300 PN10_Center III'!$AT$39:$AT$57</c:f>
              <c:numCache>
                <c:formatCode>0.000</c:formatCode>
                <c:ptCount val="19"/>
                <c:pt idx="0">
                  <c:v>674.0597352782554</c:v>
                </c:pt>
                <c:pt idx="1">
                  <c:v>671.56523207200894</c:v>
                </c:pt>
                <c:pt idx="2">
                  <c:v>462.9542113403499</c:v>
                </c:pt>
                <c:pt idx="3">
                  <c:v>462.9542113403499</c:v>
                </c:pt>
                <c:pt idx="4">
                  <c:v>319.87099473745963</c:v>
                </c:pt>
                <c:pt idx="5">
                  <c:v>319.87099473745963</c:v>
                </c:pt>
                <c:pt idx="6">
                  <c:v>236.5747307054971</c:v>
                </c:pt>
                <c:pt idx="7">
                  <c:v>236.5747307054971</c:v>
                </c:pt>
                <c:pt idx="8">
                  <c:v>144.82701393315585</c:v>
                </c:pt>
                <c:pt idx="9">
                  <c:v>144.82701393315585</c:v>
                </c:pt>
                <c:pt idx="10">
                  <c:v>110.20453718485442</c:v>
                </c:pt>
                <c:pt idx="11">
                  <c:v>110.20453718485442</c:v>
                </c:pt>
                <c:pt idx="12">
                  <c:v>103.8632808554492</c:v>
                </c:pt>
                <c:pt idx="13">
                  <c:v>103.8632808554492</c:v>
                </c:pt>
                <c:pt idx="14">
                  <c:v>78.54511758404783</c:v>
                </c:pt>
                <c:pt idx="15">
                  <c:v>78.54511758404783</c:v>
                </c:pt>
                <c:pt idx="16">
                  <c:v>64.527572380663159</c:v>
                </c:pt>
                <c:pt idx="17">
                  <c:v>64.527572380663159</c:v>
                </c:pt>
                <c:pt idx="18">
                  <c:v>59.064879658275864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F626-4940-82D7-F1A6E6424EB7}"/>
            </c:ext>
          </c:extLst>
        </c:ser>
        <c:ser>
          <c:idx val="5"/>
          <c:order val="4"/>
          <c:tx>
            <c:v>DN300PN10-75%-30mm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'DN300 PN10_Center III'!$Q$63:$Q$81</c:f>
              <c:numCache>
                <c:formatCode>0.00</c:formatCode>
                <c:ptCount val="19"/>
                <c:pt idx="0">
                  <c:v>0.4056026250541378</c:v>
                </c:pt>
                <c:pt idx="1">
                  <c:v>0.4056026250541378</c:v>
                </c:pt>
                <c:pt idx="2">
                  <c:v>0.7888241712808115</c:v>
                </c:pt>
                <c:pt idx="3">
                  <c:v>2.3491859607402881</c:v>
                </c:pt>
                <c:pt idx="4">
                  <c:v>2.3491859607402881</c:v>
                </c:pt>
                <c:pt idx="5">
                  <c:v>3.0493131328546714</c:v>
                </c:pt>
                <c:pt idx="6">
                  <c:v>3.0493131328546714</c:v>
                </c:pt>
                <c:pt idx="7">
                  <c:v>3.9442514852688095</c:v>
                </c:pt>
                <c:pt idx="8">
                  <c:v>3.9442514852688095</c:v>
                </c:pt>
                <c:pt idx="9">
                  <c:v>5.2601631258228725</c:v>
                </c:pt>
                <c:pt idx="10">
                  <c:v>5.2601631258228725</c:v>
                </c:pt>
                <c:pt idx="11">
                  <c:v>6.5216460727303787</c:v>
                </c:pt>
                <c:pt idx="12">
                  <c:v>6.5216460727303787</c:v>
                </c:pt>
                <c:pt idx="13">
                  <c:v>7.8508818574891182</c:v>
                </c:pt>
                <c:pt idx="14">
                  <c:v>7.8508818574891182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</c:numCache>
            </c:numRef>
          </c:xVal>
          <c:yVal>
            <c:numRef>
              <c:f>'DN300 PN10_Center III'!$X$63:$X$81</c:f>
              <c:numCache>
                <c:formatCode>0.000</c:formatCode>
                <c:ptCount val="19"/>
                <c:pt idx="0">
                  <c:v>625.20705163250705</c:v>
                </c:pt>
                <c:pt idx="1">
                  <c:v>625.20705163250705</c:v>
                </c:pt>
                <c:pt idx="2">
                  <c:v>458.11820074395098</c:v>
                </c:pt>
                <c:pt idx="3">
                  <c:v>130.77780851121679</c:v>
                </c:pt>
                <c:pt idx="4">
                  <c:v>130.77780851121679</c:v>
                </c:pt>
                <c:pt idx="5">
                  <c:v>91.490694033206879</c:v>
                </c:pt>
                <c:pt idx="6">
                  <c:v>91.490694033206879</c:v>
                </c:pt>
                <c:pt idx="7">
                  <c:v>86.608725656940251</c:v>
                </c:pt>
                <c:pt idx="8">
                  <c:v>86.608725656940251</c:v>
                </c:pt>
                <c:pt idx="9">
                  <c:v>59.763204517375144</c:v>
                </c:pt>
                <c:pt idx="10">
                  <c:v>59.763204517375144</c:v>
                </c:pt>
                <c:pt idx="11">
                  <c:v>47.238506290109001</c:v>
                </c:pt>
                <c:pt idx="12">
                  <c:v>47.238506290109001</c:v>
                </c:pt>
                <c:pt idx="13">
                  <c:v>39.746718739337879</c:v>
                </c:pt>
                <c:pt idx="14">
                  <c:v>39.746718739337879</c:v>
                </c:pt>
                <c:pt idx="18">
                  <c:v>43.492612514723447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F626-4940-82D7-F1A6E6424EB7}"/>
            </c:ext>
          </c:extLst>
        </c:ser>
        <c:ser>
          <c:idx val="7"/>
          <c:order val="5"/>
          <c:tx>
            <c:v>DN300PN10-75%-40mm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'DN300 PN10_Center III'!$AF$63:$AF$81</c:f>
              <c:numCache>
                <c:formatCode>0.000</c:formatCode>
                <c:ptCount val="19"/>
                <c:pt idx="0">
                  <c:v>0.39871238786803287</c:v>
                </c:pt>
                <c:pt idx="1">
                  <c:v>0.39971026176587138</c:v>
                </c:pt>
                <c:pt idx="2">
                  <c:v>0.78506336626460904</c:v>
                </c:pt>
                <c:pt idx="3">
                  <c:v>0.78506336626460904</c:v>
                </c:pt>
                <c:pt idx="4">
                  <c:v>0</c:v>
                </c:pt>
                <c:pt idx="5">
                  <c:v>0</c:v>
                </c:pt>
                <c:pt idx="6">
                  <c:v>1.5751407037879388</c:v>
                </c:pt>
                <c:pt idx="7">
                  <c:v>1.5751407037879388</c:v>
                </c:pt>
                <c:pt idx="8" formatCode="0.00">
                  <c:v>2.3600281565146823</c:v>
                </c:pt>
                <c:pt idx="9" formatCode="0.00">
                  <c:v>2.3545474047792485</c:v>
                </c:pt>
                <c:pt idx="10" formatCode="0.00">
                  <c:v>3.0174379481370512</c:v>
                </c:pt>
                <c:pt idx="11" formatCode="0.00">
                  <c:v>3.0174379481370512</c:v>
                </c:pt>
                <c:pt idx="12" formatCode="0.00">
                  <c:v>3.9221155532775294</c:v>
                </c:pt>
                <c:pt idx="13" formatCode="0.00">
                  <c:v>3.9221155532775294</c:v>
                </c:pt>
                <c:pt idx="14" formatCode="0.00">
                  <c:v>5.2210049464657944</c:v>
                </c:pt>
                <c:pt idx="15" formatCode="0.00">
                  <c:v>5.2210049464657944</c:v>
                </c:pt>
                <c:pt idx="16" formatCode="0.00">
                  <c:v>6.5868472934234612</c:v>
                </c:pt>
                <c:pt idx="17" formatCode="0.00">
                  <c:v>6.5868472934234612</c:v>
                </c:pt>
                <c:pt idx="18" formatCode="0.00">
                  <c:v>0</c:v>
                </c:pt>
              </c:numCache>
            </c:numRef>
          </c:xVal>
          <c:yVal>
            <c:numRef>
              <c:f>'DN300 PN10_Center III'!$AT$63:$AT$81</c:f>
              <c:numCache>
                <c:formatCode>0.00</c:formatCode>
                <c:ptCount val="19"/>
                <c:pt idx="0">
                  <c:v>532.43879677868767</c:v>
                </c:pt>
                <c:pt idx="1">
                  <c:v>555.29938998538091</c:v>
                </c:pt>
                <c:pt idx="2">
                  <c:v>468.1957007938725</c:v>
                </c:pt>
                <c:pt idx="3">
                  <c:v>468.1957007938725</c:v>
                </c:pt>
                <c:pt idx="6">
                  <c:v>219.95395920062762</c:v>
                </c:pt>
                <c:pt idx="7">
                  <c:v>219.95395920062762</c:v>
                </c:pt>
                <c:pt idx="8">
                  <c:v>150.53826967776538</c:v>
                </c:pt>
                <c:pt idx="9">
                  <c:v>151.72000791180452</c:v>
                </c:pt>
                <c:pt idx="10">
                  <c:v>165.7684648330347</c:v>
                </c:pt>
                <c:pt idx="11">
                  <c:v>165.7684648330347</c:v>
                </c:pt>
                <c:pt idx="12">
                  <c:v>118.3488473004016</c:v>
                </c:pt>
                <c:pt idx="13">
                  <c:v>118.3488473004016</c:v>
                </c:pt>
                <c:pt idx="14">
                  <c:v>96.42124655335607</c:v>
                </c:pt>
                <c:pt idx="15">
                  <c:v>96.42124655335607</c:v>
                </c:pt>
                <c:pt idx="16">
                  <c:v>85.113040166861268</c:v>
                </c:pt>
                <c:pt idx="17">
                  <c:v>85.113040166861268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F626-4940-82D7-F1A6E6424E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828368"/>
        <c:axId val="131832112"/>
      </c:scatterChart>
      <c:valAx>
        <c:axId val="131828368"/>
        <c:scaling>
          <c:orientation val="minMax"/>
          <c:max val="9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1"/>
                  <a:t>Velocity (m s</a:t>
                </a:r>
                <a:r>
                  <a:rPr lang="en-US" sz="1600" b="1" baseline="30000"/>
                  <a:t>-1</a:t>
                </a:r>
                <a:r>
                  <a:rPr lang="en-US" sz="1600" b="1"/>
                  <a:t>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32112"/>
        <c:crosses val="autoZero"/>
        <c:crossBetween val="midCat"/>
        <c:majorUnit val="0.5"/>
      </c:valAx>
      <c:valAx>
        <c:axId val="131832112"/>
        <c:scaling>
          <c:orientation val="minMax"/>
          <c:max val="200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sz="1600" b="1"/>
                  <a:t>Absolute</a:t>
                </a:r>
                <a:r>
                  <a:rPr lang="es-ES" sz="1600" b="1" baseline="0"/>
                  <a:t> roughness (mm)</a:t>
                </a:r>
                <a:endParaRPr lang="es-ES" sz="1600" b="1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283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10166409797724579"/>
          <c:y val="3.6666005558248449E-2"/>
          <c:w val="0.18845607914377263"/>
          <c:h val="0.4920384715722008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458730136895617E-2"/>
          <c:y val="2.8286665484910743E-2"/>
          <c:w val="0.88512789419068405"/>
          <c:h val="0.84430996032786165"/>
        </c:manualLayout>
      </c:layout>
      <c:scatterChart>
        <c:scatterStyle val="lineMarker"/>
        <c:varyColors val="0"/>
        <c:ser>
          <c:idx val="9"/>
          <c:order val="0"/>
          <c:tx>
            <c:v>DN300PN10-25%-30mm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'DN300 PN10_Center III'!$T$12:$T$21</c:f>
              <c:numCache>
                <c:formatCode>0.00</c:formatCode>
                <c:ptCount val="10"/>
                <c:pt idx="0">
                  <c:v>2.1</c:v>
                </c:pt>
                <c:pt idx="1">
                  <c:v>2.1</c:v>
                </c:pt>
                <c:pt idx="2">
                  <c:v>2.1800000000000002</c:v>
                </c:pt>
                <c:pt idx="3">
                  <c:v>2.17</c:v>
                </c:pt>
                <c:pt idx="6">
                  <c:v>2.2799999999999998</c:v>
                </c:pt>
                <c:pt idx="7">
                  <c:v>2.2999999999999998</c:v>
                </c:pt>
                <c:pt idx="8">
                  <c:v>2.85</c:v>
                </c:pt>
                <c:pt idx="9">
                  <c:v>2.87</c:v>
                </c:pt>
              </c:numCache>
            </c:numRef>
          </c:xVal>
          <c:yVal>
            <c:numRef>
              <c:f>'DN300 PN10_Center III'!$X$12:$X$21</c:f>
              <c:numCache>
                <c:formatCode>0.000</c:formatCode>
                <c:ptCount val="10"/>
                <c:pt idx="0">
                  <c:v>679.65469043021494</c:v>
                </c:pt>
                <c:pt idx="1">
                  <c:v>677.69780023949363</c:v>
                </c:pt>
                <c:pt idx="2">
                  <c:v>444.82183933087998</c:v>
                </c:pt>
                <c:pt idx="3">
                  <c:v>446.04275840771749</c:v>
                </c:pt>
                <c:pt idx="6">
                  <c:v>87.949758027662554</c:v>
                </c:pt>
                <c:pt idx="7">
                  <c:v>88.337154492368882</c:v>
                </c:pt>
                <c:pt idx="8">
                  <c:v>58.74551457499755</c:v>
                </c:pt>
                <c:pt idx="9">
                  <c:v>59.097166951489363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935-4E0E-91DE-B04789E7F99C}"/>
            </c:ext>
          </c:extLst>
        </c:ser>
        <c:ser>
          <c:idx val="1"/>
          <c:order val="1"/>
          <c:tx>
            <c:v>DN300PN10-25%-40mm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'DN300 PN10_Center III'!$AI$12:$AI$32</c:f>
              <c:numCache>
                <c:formatCode>0.00</c:formatCode>
                <c:ptCount val="21"/>
                <c:pt idx="0">
                  <c:v>2.1535739999999999</c:v>
                </c:pt>
                <c:pt idx="1">
                  <c:v>2.1535739999999999</c:v>
                </c:pt>
                <c:pt idx="4">
                  <c:v>2.3585069999999999</c:v>
                </c:pt>
                <c:pt idx="5">
                  <c:v>2.3585069999999999</c:v>
                </c:pt>
                <c:pt idx="8">
                  <c:v>2.9883899999999999</c:v>
                </c:pt>
                <c:pt idx="9">
                  <c:v>2.9883899999999999</c:v>
                </c:pt>
                <c:pt idx="10">
                  <c:v>3.5800459999999998</c:v>
                </c:pt>
                <c:pt idx="11">
                  <c:v>3.5800459999999998</c:v>
                </c:pt>
                <c:pt idx="12">
                  <c:v>4.3901000000000003</c:v>
                </c:pt>
                <c:pt idx="13">
                  <c:v>4.3901000000000003</c:v>
                </c:pt>
                <c:pt idx="14">
                  <c:v>7.2554351399470134</c:v>
                </c:pt>
                <c:pt idx="15">
                  <c:v>8.0696383047071656</c:v>
                </c:pt>
                <c:pt idx="16">
                  <c:v>9.2713366047920349</c:v>
                </c:pt>
                <c:pt idx="17">
                  <c:v>9.2713366047920349</c:v>
                </c:pt>
                <c:pt idx="18">
                  <c:v>11</c:v>
                </c:pt>
                <c:pt idx="19">
                  <c:v>10.95</c:v>
                </c:pt>
              </c:numCache>
            </c:numRef>
          </c:xVal>
          <c:yVal>
            <c:numRef>
              <c:f>'DN300 PN10_Center III'!$AT$12:$AT$32</c:f>
              <c:numCache>
                <c:formatCode>0</c:formatCode>
                <c:ptCount val="21"/>
                <c:pt idx="0">
                  <c:v>687.73111278409101</c:v>
                </c:pt>
                <c:pt idx="1">
                  <c:v>687.73111278409101</c:v>
                </c:pt>
                <c:pt idx="4">
                  <c:v>309.2161216261332</c:v>
                </c:pt>
                <c:pt idx="5">
                  <c:v>309.2161216261332</c:v>
                </c:pt>
                <c:pt idx="8">
                  <c:v>118.45964218620971</c:v>
                </c:pt>
                <c:pt idx="9">
                  <c:v>118.45964218620971</c:v>
                </c:pt>
                <c:pt idx="10">
                  <c:v>77.338602655871171</c:v>
                </c:pt>
                <c:pt idx="11">
                  <c:v>77.338602655871171</c:v>
                </c:pt>
                <c:pt idx="12">
                  <c:v>53.023130105392283</c:v>
                </c:pt>
                <c:pt idx="13">
                  <c:v>53.023130105392283</c:v>
                </c:pt>
                <c:pt idx="14">
                  <c:v>47.474458392699844</c:v>
                </c:pt>
                <c:pt idx="15">
                  <c:v>43.842178486780604</c:v>
                </c:pt>
                <c:pt idx="16">
                  <c:v>34.112840179379923</c:v>
                </c:pt>
                <c:pt idx="17">
                  <c:v>34.112840179379923</c:v>
                </c:pt>
                <c:pt idx="18">
                  <c:v>28.477857961245423</c:v>
                </c:pt>
                <c:pt idx="19">
                  <c:v>28.543046621634033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935-4E0E-91DE-B04789E7F99C}"/>
            </c:ext>
          </c:extLst>
        </c:ser>
        <c:ser>
          <c:idx val="2"/>
          <c:order val="2"/>
          <c:tx>
            <c:v>DN300PN10-50%-30mm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'DN300 PN10_Center III'!$T$39:$T$56</c:f>
              <c:numCache>
                <c:formatCode>0.00</c:formatCode>
                <c:ptCount val="18"/>
                <c:pt idx="0">
                  <c:v>1.59</c:v>
                </c:pt>
                <c:pt idx="1">
                  <c:v>1.59</c:v>
                </c:pt>
                <c:pt idx="2">
                  <c:v>2.16</c:v>
                </c:pt>
                <c:pt idx="3">
                  <c:v>2.4900000000000002</c:v>
                </c:pt>
                <c:pt idx="4">
                  <c:v>2.4900000000000002</c:v>
                </c:pt>
                <c:pt idx="5">
                  <c:v>3.51</c:v>
                </c:pt>
                <c:pt idx="6">
                  <c:v>3.51</c:v>
                </c:pt>
                <c:pt idx="7">
                  <c:v>4.4400000000000004</c:v>
                </c:pt>
                <c:pt idx="8">
                  <c:v>4.4400000000000004</c:v>
                </c:pt>
                <c:pt idx="9">
                  <c:v>7.12</c:v>
                </c:pt>
                <c:pt idx="10">
                  <c:v>7.12</c:v>
                </c:pt>
                <c:pt idx="11">
                  <c:v>9.19</c:v>
                </c:pt>
                <c:pt idx="12">
                  <c:v>9.19</c:v>
                </c:pt>
                <c:pt idx="13">
                  <c:v>11.85</c:v>
                </c:pt>
                <c:pt idx="14">
                  <c:v>11.85</c:v>
                </c:pt>
              </c:numCache>
            </c:numRef>
          </c:xVal>
          <c:yVal>
            <c:numRef>
              <c:f>'DN300 PN10_Center III'!$X$39:$X$56</c:f>
              <c:numCache>
                <c:formatCode>0.000</c:formatCode>
                <c:ptCount val="18"/>
                <c:pt idx="0">
                  <c:v>640.76330654505057</c:v>
                </c:pt>
                <c:pt idx="1">
                  <c:v>641.47146663879619</c:v>
                </c:pt>
                <c:pt idx="2">
                  <c:v>455.39717927679442</c:v>
                </c:pt>
                <c:pt idx="3">
                  <c:v>224.02460838268118</c:v>
                </c:pt>
                <c:pt idx="4">
                  <c:v>224.02460838268118</c:v>
                </c:pt>
                <c:pt idx="5">
                  <c:v>79.336030884040426</c:v>
                </c:pt>
                <c:pt idx="6">
                  <c:v>79.336030884040426</c:v>
                </c:pt>
                <c:pt idx="7">
                  <c:v>53.856604146700008</c:v>
                </c:pt>
                <c:pt idx="8">
                  <c:v>53.856604146700008</c:v>
                </c:pt>
                <c:pt idx="9">
                  <c:v>45.897938448246599</c:v>
                </c:pt>
                <c:pt idx="10">
                  <c:v>45.897938448246599</c:v>
                </c:pt>
                <c:pt idx="11">
                  <c:v>33.347422610392783</c:v>
                </c:pt>
                <c:pt idx="12">
                  <c:v>33.347422610392783</c:v>
                </c:pt>
                <c:pt idx="13">
                  <c:v>27.342305806502992</c:v>
                </c:pt>
                <c:pt idx="14">
                  <c:v>27.342305806502992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5935-4E0E-91DE-B04789E7F99C}"/>
            </c:ext>
          </c:extLst>
        </c:ser>
        <c:ser>
          <c:idx val="4"/>
          <c:order val="3"/>
          <c:tx>
            <c:v>DN300PN10-50%-40mm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'DN300 PN10_Center III'!$AI$39:$AI$56</c:f>
              <c:numCache>
                <c:formatCode>0.00</c:formatCode>
                <c:ptCount val="18"/>
                <c:pt idx="0">
                  <c:v>2.14</c:v>
                </c:pt>
                <c:pt idx="1">
                  <c:v>2.15</c:v>
                </c:pt>
                <c:pt idx="2">
                  <c:v>2.3226309999999999</c:v>
                </c:pt>
                <c:pt idx="3">
                  <c:v>2.3226309999999999</c:v>
                </c:pt>
                <c:pt idx="4">
                  <c:v>2.5170360000000001</c:v>
                </c:pt>
                <c:pt idx="5">
                  <c:v>2.5170360000000001</c:v>
                </c:pt>
                <c:pt idx="6">
                  <c:v>2.7945060000000002</c:v>
                </c:pt>
                <c:pt idx="7">
                  <c:v>2.7945060000000002</c:v>
                </c:pt>
                <c:pt idx="8">
                  <c:v>3.6102430000000001</c:v>
                </c:pt>
                <c:pt idx="9">
                  <c:v>3.6102430000000001</c:v>
                </c:pt>
                <c:pt idx="10">
                  <c:v>4.595707</c:v>
                </c:pt>
                <c:pt idx="11">
                  <c:v>4.595707</c:v>
                </c:pt>
                <c:pt idx="12">
                  <c:v>7.3729548529397535</c:v>
                </c:pt>
                <c:pt idx="13">
                  <c:v>7.3729548529397535</c:v>
                </c:pt>
                <c:pt idx="14">
                  <c:v>10.186174834031661</c:v>
                </c:pt>
                <c:pt idx="15">
                  <c:v>10.186174834031661</c:v>
                </c:pt>
                <c:pt idx="16">
                  <c:v>14.45362503305469</c:v>
                </c:pt>
                <c:pt idx="17">
                  <c:v>14.45362503305469</c:v>
                </c:pt>
              </c:numCache>
            </c:numRef>
          </c:xVal>
          <c:yVal>
            <c:numRef>
              <c:f>'DN300 PN10_Center III'!$AT$39:$AT$56</c:f>
              <c:numCache>
                <c:formatCode>0.000</c:formatCode>
                <c:ptCount val="18"/>
                <c:pt idx="0">
                  <c:v>674.0597352782554</c:v>
                </c:pt>
                <c:pt idx="1">
                  <c:v>671.56523207200894</c:v>
                </c:pt>
                <c:pt idx="2">
                  <c:v>462.9542113403499</c:v>
                </c:pt>
                <c:pt idx="3">
                  <c:v>462.9542113403499</c:v>
                </c:pt>
                <c:pt idx="4">
                  <c:v>319.87099473745963</c:v>
                </c:pt>
                <c:pt idx="5">
                  <c:v>319.87099473745963</c:v>
                </c:pt>
                <c:pt idx="6">
                  <c:v>236.5747307054971</c:v>
                </c:pt>
                <c:pt idx="7">
                  <c:v>236.5747307054971</c:v>
                </c:pt>
                <c:pt idx="8">
                  <c:v>144.82701393315585</c:v>
                </c:pt>
                <c:pt idx="9">
                  <c:v>144.82701393315585</c:v>
                </c:pt>
                <c:pt idx="10">
                  <c:v>110.20453718485442</c:v>
                </c:pt>
                <c:pt idx="11">
                  <c:v>110.20453718485442</c:v>
                </c:pt>
                <c:pt idx="12">
                  <c:v>103.8632808554492</c:v>
                </c:pt>
                <c:pt idx="13">
                  <c:v>103.8632808554492</c:v>
                </c:pt>
                <c:pt idx="14">
                  <c:v>78.54511758404783</c:v>
                </c:pt>
                <c:pt idx="15">
                  <c:v>78.54511758404783</c:v>
                </c:pt>
                <c:pt idx="16">
                  <c:v>64.527572380663159</c:v>
                </c:pt>
                <c:pt idx="17">
                  <c:v>64.527572380663159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5935-4E0E-91DE-B04789E7F99C}"/>
            </c:ext>
          </c:extLst>
        </c:ser>
        <c:ser>
          <c:idx val="5"/>
          <c:order val="4"/>
          <c:tx>
            <c:v>DN300PN10-75%-30mm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'DN300 PN10_Center III'!$T$63:$T$72</c:f>
              <c:numCache>
                <c:formatCode>0.00</c:formatCode>
                <c:ptCount val="10"/>
                <c:pt idx="0">
                  <c:v>1.54</c:v>
                </c:pt>
                <c:pt idx="1">
                  <c:v>1.54</c:v>
                </c:pt>
                <c:pt idx="2">
                  <c:v>2.29</c:v>
                </c:pt>
                <c:pt idx="3">
                  <c:v>3.24</c:v>
                </c:pt>
                <c:pt idx="4">
                  <c:v>3.24</c:v>
                </c:pt>
                <c:pt idx="5">
                  <c:v>3.98</c:v>
                </c:pt>
                <c:pt idx="6">
                  <c:v>3.98</c:v>
                </c:pt>
                <c:pt idx="7">
                  <c:v>6.37</c:v>
                </c:pt>
                <c:pt idx="8">
                  <c:v>6.37</c:v>
                </c:pt>
                <c:pt idx="9">
                  <c:v>8.59</c:v>
                </c:pt>
              </c:numCache>
            </c:numRef>
          </c:xVal>
          <c:yVal>
            <c:numRef>
              <c:f>'DN300 PN10_Center III'!$X$63:$X$72</c:f>
              <c:numCache>
                <c:formatCode>0.000</c:formatCode>
                <c:ptCount val="10"/>
                <c:pt idx="0">
                  <c:v>625.20705163250705</c:v>
                </c:pt>
                <c:pt idx="1">
                  <c:v>625.20705163250705</c:v>
                </c:pt>
                <c:pt idx="2">
                  <c:v>458.11820074395098</c:v>
                </c:pt>
                <c:pt idx="3">
                  <c:v>130.77780851121679</c:v>
                </c:pt>
                <c:pt idx="4">
                  <c:v>130.77780851121679</c:v>
                </c:pt>
                <c:pt idx="5">
                  <c:v>91.490694033206879</c:v>
                </c:pt>
                <c:pt idx="6">
                  <c:v>91.490694033206879</c:v>
                </c:pt>
                <c:pt idx="7">
                  <c:v>86.608725656940251</c:v>
                </c:pt>
                <c:pt idx="8">
                  <c:v>86.608725656940251</c:v>
                </c:pt>
                <c:pt idx="9">
                  <c:v>59.763204517375144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5935-4E0E-91DE-B04789E7F99C}"/>
            </c:ext>
          </c:extLst>
        </c:ser>
        <c:ser>
          <c:idx val="7"/>
          <c:order val="5"/>
          <c:tx>
            <c:v>DN300PN10-75%-40mm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7030A0"/>
              </a:solidFill>
              <a:ln w="9525">
                <a:solidFill>
                  <a:srgbClr val="7030A0"/>
                </a:solidFill>
              </a:ln>
              <a:effectLst/>
            </c:spPr>
          </c:marker>
          <c:xVal>
            <c:numRef>
              <c:f>'DN300 PN10_Center III'!$AI$63:$AI$80</c:f>
              <c:numCache>
                <c:formatCode>0.00</c:formatCode>
                <c:ptCount val="18"/>
                <c:pt idx="0">
                  <c:v>0.87086379999999997</c:v>
                </c:pt>
                <c:pt idx="1">
                  <c:v>0.9937319</c:v>
                </c:pt>
                <c:pt idx="2">
                  <c:v>2.3915229999999998</c:v>
                </c:pt>
                <c:pt idx="3">
                  <c:v>2.3915229999999998</c:v>
                </c:pt>
                <c:pt idx="6">
                  <c:v>2.5833689999999998</c:v>
                </c:pt>
                <c:pt idx="7">
                  <c:v>2.5833689999999998</c:v>
                </c:pt>
                <c:pt idx="8">
                  <c:v>3.76</c:v>
                </c:pt>
                <c:pt idx="9">
                  <c:v>3.772805</c:v>
                </c:pt>
                <c:pt idx="10">
                  <c:v>6.8034396275644253</c:v>
                </c:pt>
                <c:pt idx="11">
                  <c:v>6.8034396275644253</c:v>
                </c:pt>
                <c:pt idx="12">
                  <c:v>8.2257200795421497</c:v>
                </c:pt>
                <c:pt idx="13">
                  <c:v>8.2257200795421497</c:v>
                </c:pt>
                <c:pt idx="14">
                  <c:v>12.185809491134403</c:v>
                </c:pt>
                <c:pt idx="15">
                  <c:v>12.185809491134403</c:v>
                </c:pt>
                <c:pt idx="16">
                  <c:v>17.520444656820381</c:v>
                </c:pt>
                <c:pt idx="17">
                  <c:v>17.520444656820381</c:v>
                </c:pt>
              </c:numCache>
            </c:numRef>
          </c:xVal>
          <c:yVal>
            <c:numRef>
              <c:f>'DN300 PN10_Center III'!$AT$63:$AT$80</c:f>
              <c:numCache>
                <c:formatCode>0.00</c:formatCode>
                <c:ptCount val="18"/>
                <c:pt idx="0">
                  <c:v>532.43879677868767</c:v>
                </c:pt>
                <c:pt idx="1">
                  <c:v>555.29938998538091</c:v>
                </c:pt>
                <c:pt idx="2">
                  <c:v>468.1957007938725</c:v>
                </c:pt>
                <c:pt idx="3">
                  <c:v>468.1957007938725</c:v>
                </c:pt>
                <c:pt idx="6">
                  <c:v>219.95395920062762</c:v>
                </c:pt>
                <c:pt idx="7">
                  <c:v>219.95395920062762</c:v>
                </c:pt>
                <c:pt idx="8">
                  <c:v>150.53826967776538</c:v>
                </c:pt>
                <c:pt idx="9">
                  <c:v>151.72000791180452</c:v>
                </c:pt>
                <c:pt idx="10">
                  <c:v>165.7684648330347</c:v>
                </c:pt>
                <c:pt idx="11">
                  <c:v>165.7684648330347</c:v>
                </c:pt>
                <c:pt idx="12">
                  <c:v>118.3488473004016</c:v>
                </c:pt>
                <c:pt idx="13">
                  <c:v>118.3488473004016</c:v>
                </c:pt>
                <c:pt idx="14">
                  <c:v>96.42124655335607</c:v>
                </c:pt>
                <c:pt idx="15">
                  <c:v>96.42124655335607</c:v>
                </c:pt>
                <c:pt idx="16">
                  <c:v>85.113040166861268</c:v>
                </c:pt>
                <c:pt idx="17">
                  <c:v>85.113040166861268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5935-4E0E-91DE-B04789E7F99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828368"/>
        <c:axId val="131832112"/>
      </c:scatterChart>
      <c:valAx>
        <c:axId val="131828368"/>
        <c:scaling>
          <c:orientation val="minMax"/>
          <c:max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1"/>
                  <a:t>Hf (kPa)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32112"/>
        <c:crosses val="autoZero"/>
        <c:crossBetween val="midCat"/>
        <c:majorUnit val="1"/>
      </c:valAx>
      <c:valAx>
        <c:axId val="131832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sz="1600" b="1"/>
                  <a:t>Absolute</a:t>
                </a:r>
                <a:r>
                  <a:rPr lang="es-ES" sz="1600" b="1" baseline="0"/>
                  <a:t> roughness (mm)</a:t>
                </a:r>
                <a:endParaRPr lang="es-ES" sz="1600" b="1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283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3642946305835144"/>
          <c:y val="4.2908792200918575E-2"/>
          <c:w val="0.18845607914377263"/>
          <c:h val="0.3853678116653780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chart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chartsheets/sheet1.xml><?xml version="1.0" encoding="utf-8"?>
<chartsheet xmlns="http://schemas.openxmlformats.org/spreadsheetml/2006/main" xmlns:r="http://schemas.openxmlformats.org/officeDocument/2006/relationships">
  <sheetPr>
    <tabColor rgb="FFFFC000"/>
  </sheetPr>
  <sheetViews>
    <sheetView zoomScale="103" workbookViewId="0" zoomToFit="1"/>
  </sheetViews>
  <pageMargins left="0.7" right="0.7" top="0.75" bottom="0.75" header="0.3" footer="0.3"/>
  <pageSetup paperSize="9" orientation="landscape" r:id="rId1"/>
  <drawing r:id="rId2"/>
</chartsheet>
</file>

<file path=xl/chartsheets/sheet2.xml><?xml version="1.0" encoding="utf-8"?>
<chartsheet xmlns="http://schemas.openxmlformats.org/spreadsheetml/2006/main" xmlns:r="http://schemas.openxmlformats.org/officeDocument/2006/relationships">
  <sheetPr>
    <tabColor rgb="FFFFC000"/>
  </sheetPr>
  <sheetViews>
    <sheetView tabSelected="1" zoomScale="103" workbookViewId="0" zoomToFit="1"/>
  </sheetViews>
  <pageMargins left="0.7" right="0.7" top="0.75" bottom="0.75" header="0.3" footer="0.3"/>
  <pageSetup paperSize="9" orientation="landscape" r:id="rId1"/>
  <drawing r:id="rId2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9303058" cy="6075655"/>
    <xdr:graphicFrame macro="">
      <xdr:nvGraphicFramePr>
        <xdr:cNvPr id="2" name="Gráfico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9303058" cy="6075655"/>
    <xdr:graphicFrame macro="">
      <xdr:nvGraphicFramePr>
        <xdr:cNvPr id="2" name="Gráfico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247650</xdr:colOff>
      <xdr:row>0</xdr:row>
      <xdr:rowOff>28574</xdr:rowOff>
    </xdr:from>
    <xdr:to>
      <xdr:col>11</xdr:col>
      <xdr:colOff>428625</xdr:colOff>
      <xdr:row>42</xdr:row>
      <xdr:rowOff>152399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4642" t="7501" r="21944" b="5359"/>
        <a:stretch/>
      </xdr:blipFill>
      <xdr:spPr>
        <a:xfrm>
          <a:off x="247650" y="28574"/>
          <a:ext cx="8562975" cy="896302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14</xdr:col>
      <xdr:colOff>3483830</xdr:colOff>
      <xdr:row>6</xdr:row>
      <xdr:rowOff>114300</xdr:rowOff>
    </xdr:to>
    <xdr:pic>
      <xdr:nvPicPr>
        <xdr:cNvPr id="7" name="Imagen 6" descr="https://victoryepes.blogs.upv.es/files/2022/12/Hazen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90500"/>
          <a:ext cx="3483830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533400</xdr:colOff>
      <xdr:row>14</xdr:row>
      <xdr:rowOff>85725</xdr:rowOff>
    </xdr:from>
    <xdr:to>
      <xdr:col>14</xdr:col>
      <xdr:colOff>2971800</xdr:colOff>
      <xdr:row>18</xdr:row>
      <xdr:rowOff>9525</xdr:rowOff>
    </xdr:to>
    <xdr:pic>
      <xdr:nvPicPr>
        <xdr:cNvPr id="8" name="Imagen 7" descr="https://www.lifeder.com/wp-content/uploads/2019/06/rugosidad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1400" y="3505200"/>
          <a:ext cx="24384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314325</xdr:colOff>
      <xdr:row>43</xdr:row>
      <xdr:rowOff>142875</xdr:rowOff>
    </xdr:from>
    <xdr:to>
      <xdr:col>12</xdr:col>
      <xdr:colOff>361950</xdr:colOff>
      <xdr:row>95</xdr:row>
      <xdr:rowOff>142875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4642" r="20225" b="3692"/>
        <a:stretch/>
      </xdr:blipFill>
      <xdr:spPr>
        <a:xfrm>
          <a:off x="314325" y="9172575"/>
          <a:ext cx="9191625" cy="99060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23</xdr:row>
      <xdr:rowOff>0</xdr:rowOff>
    </xdr:from>
    <xdr:to>
      <xdr:col>14</xdr:col>
      <xdr:colOff>304800</xdr:colOff>
      <xdr:row>24</xdr:row>
      <xdr:rowOff>114300</xdr:rowOff>
    </xdr:to>
    <xdr:sp macro="" textlink="">
      <xdr:nvSpPr>
        <xdr:cNvPr id="4100" name="AutoShape 4" descr="{\displaystyle h_{f}=f\cdot {\frac {L}{D}}\cdot {\frac {v^{2}}{2g}}}"/>
        <xdr:cNvSpPr>
          <a:spLocks noChangeAspect="1" noChangeArrowheads="1"/>
        </xdr:cNvSpPr>
      </xdr:nvSpPr>
      <xdr:spPr bwMode="auto">
        <a:xfrm>
          <a:off x="10668000" y="51339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Q141"/>
  <sheetViews>
    <sheetView workbookViewId="0">
      <pane ySplit="3" topLeftCell="A4" activePane="bottomLeft" state="frozen"/>
      <selection pane="bottomLeft" activeCell="H8" sqref="H8"/>
    </sheetView>
  </sheetViews>
  <sheetFormatPr baseColWidth="10" defaultRowHeight="15" x14ac:dyDescent="0.25"/>
  <cols>
    <col min="2" max="2" width="12.5703125" bestFit="1" customWidth="1"/>
    <col min="3" max="3" width="14.5703125" bestFit="1" customWidth="1"/>
    <col min="4" max="4" width="14.5703125" customWidth="1"/>
    <col min="5" max="5" width="13.5703125" bestFit="1" customWidth="1"/>
    <col min="6" max="6" width="13.5703125" customWidth="1"/>
    <col min="7" max="8" width="14.5703125" customWidth="1"/>
    <col min="10" max="10" width="11.5703125" bestFit="1" customWidth="1"/>
    <col min="11" max="11" width="13.5703125" bestFit="1" customWidth="1"/>
    <col min="12" max="12" width="13.5703125" customWidth="1"/>
    <col min="13" max="13" width="12.5703125" bestFit="1" customWidth="1"/>
    <col min="14" max="14" width="12.5703125" customWidth="1"/>
    <col min="15" max="15" width="13.5703125" bestFit="1" customWidth="1"/>
    <col min="17" max="17" width="11.5703125" bestFit="1" customWidth="1"/>
    <col min="18" max="18" width="13.5703125" bestFit="1" customWidth="1"/>
    <col min="19" max="19" width="13.5703125" customWidth="1"/>
    <col min="20" max="20" width="11.5703125" bestFit="1" customWidth="1"/>
    <col min="21" max="21" width="11.5703125" customWidth="1"/>
    <col min="22" max="22" width="13.5703125" bestFit="1" customWidth="1"/>
    <col min="24" max="24" width="11.5703125" bestFit="1" customWidth="1"/>
    <col min="25" max="25" width="13.5703125" bestFit="1" customWidth="1"/>
    <col min="26" max="26" width="13.5703125" customWidth="1"/>
    <col min="27" max="27" width="11.5703125" bestFit="1" customWidth="1"/>
    <col min="28" max="28" width="11.5703125" customWidth="1"/>
    <col min="29" max="29" width="12.5703125" bestFit="1" customWidth="1"/>
    <col min="31" max="31" width="11.5703125" bestFit="1" customWidth="1"/>
    <col min="32" max="32" width="12.5703125" bestFit="1" customWidth="1"/>
    <col min="33" max="36" width="11.5703125" bestFit="1" customWidth="1"/>
  </cols>
  <sheetData>
    <row r="1" spans="1:43" x14ac:dyDescent="0.25">
      <c r="B1" s="49" t="s">
        <v>122</v>
      </c>
      <c r="C1" s="49"/>
      <c r="D1" s="49"/>
      <c r="E1" s="49"/>
      <c r="F1" s="49"/>
      <c r="G1" s="49"/>
      <c r="J1" s="52" t="s">
        <v>99</v>
      </c>
      <c r="K1" s="53"/>
      <c r="L1" s="53"/>
      <c r="M1" s="53"/>
      <c r="N1" s="53"/>
      <c r="O1" s="53"/>
      <c r="Q1" s="50" t="s">
        <v>98</v>
      </c>
      <c r="R1" s="52" t="s">
        <v>99</v>
      </c>
      <c r="S1" s="50"/>
      <c r="T1" s="50"/>
      <c r="U1" s="50"/>
      <c r="V1" s="50"/>
      <c r="X1" s="52" t="s">
        <v>96</v>
      </c>
      <c r="Y1" s="52" t="s">
        <v>99</v>
      </c>
      <c r="Z1" s="52"/>
      <c r="AA1" s="52"/>
      <c r="AB1" s="52"/>
      <c r="AC1" s="52"/>
      <c r="AE1" s="51" t="s">
        <v>95</v>
      </c>
      <c r="AF1" s="51" t="s">
        <v>100</v>
      </c>
      <c r="AG1" s="51"/>
      <c r="AH1" s="51"/>
      <c r="AI1" s="51"/>
      <c r="AJ1" s="51"/>
      <c r="AL1" s="75" t="s">
        <v>95</v>
      </c>
      <c r="AM1" s="75" t="s">
        <v>100</v>
      </c>
      <c r="AN1" s="75"/>
      <c r="AO1" s="75"/>
      <c r="AP1" s="75"/>
      <c r="AQ1" s="75"/>
    </row>
    <row r="2" spans="1:43" x14ac:dyDescent="0.25">
      <c r="B2" s="49" t="s">
        <v>71</v>
      </c>
      <c r="C2" s="49"/>
      <c r="D2" s="49"/>
      <c r="E2" s="49"/>
      <c r="F2" s="49"/>
      <c r="G2" s="49"/>
      <c r="J2" s="53" t="s">
        <v>86</v>
      </c>
      <c r="K2" s="53"/>
      <c r="L2" s="53"/>
      <c r="M2" s="53"/>
      <c r="N2" s="53"/>
      <c r="O2" s="53"/>
      <c r="Q2" s="50" t="s">
        <v>94</v>
      </c>
      <c r="R2" s="50"/>
      <c r="S2" s="50"/>
      <c r="T2" s="50"/>
      <c r="U2" s="50"/>
      <c r="V2" s="50"/>
      <c r="X2" s="52" t="s">
        <v>93</v>
      </c>
      <c r="Y2" s="52" t="s">
        <v>91</v>
      </c>
      <c r="Z2" s="52"/>
      <c r="AA2" s="52"/>
      <c r="AB2" s="52"/>
      <c r="AC2" s="52"/>
      <c r="AE2" s="51" t="s">
        <v>87</v>
      </c>
      <c r="AF2" s="51"/>
      <c r="AG2" s="51"/>
      <c r="AH2" s="51"/>
      <c r="AI2" s="51"/>
      <c r="AJ2" s="51"/>
      <c r="AL2" s="75" t="s">
        <v>86</v>
      </c>
      <c r="AM2" s="75"/>
      <c r="AN2" s="75"/>
      <c r="AO2" s="75"/>
      <c r="AP2" s="75"/>
      <c r="AQ2" s="75"/>
    </row>
    <row r="3" spans="1:43" x14ac:dyDescent="0.25">
      <c r="A3" t="s">
        <v>72</v>
      </c>
      <c r="B3" s="49" t="s">
        <v>50</v>
      </c>
      <c r="C3" s="49" t="s">
        <v>8</v>
      </c>
      <c r="D3" s="49" t="s">
        <v>52</v>
      </c>
      <c r="E3" s="49" t="s">
        <v>90</v>
      </c>
      <c r="F3" s="49" t="s">
        <v>51</v>
      </c>
      <c r="G3" s="49" t="s">
        <v>101</v>
      </c>
      <c r="J3" s="53" t="s">
        <v>50</v>
      </c>
      <c r="K3" s="53" t="s">
        <v>8</v>
      </c>
      <c r="L3" s="53" t="s">
        <v>52</v>
      </c>
      <c r="M3" s="53" t="s">
        <v>89</v>
      </c>
      <c r="N3" s="53" t="s">
        <v>51</v>
      </c>
      <c r="O3" s="53" t="s">
        <v>101</v>
      </c>
      <c r="Q3" s="50" t="s">
        <v>50</v>
      </c>
      <c r="R3" s="50" t="s">
        <v>8</v>
      </c>
      <c r="S3" s="50" t="s">
        <v>52</v>
      </c>
      <c r="T3" s="50" t="s">
        <v>88</v>
      </c>
      <c r="U3" s="50" t="s">
        <v>51</v>
      </c>
      <c r="V3" s="50" t="s">
        <v>101</v>
      </c>
      <c r="X3" s="52" t="s">
        <v>50</v>
      </c>
      <c r="Y3" s="52" t="s">
        <v>8</v>
      </c>
      <c r="Z3" s="52" t="s">
        <v>52</v>
      </c>
      <c r="AA3" s="52" t="s">
        <v>88</v>
      </c>
      <c r="AB3" s="52" t="s">
        <v>51</v>
      </c>
      <c r="AC3" s="52" t="s">
        <v>101</v>
      </c>
      <c r="AE3" s="51" t="s">
        <v>50</v>
      </c>
      <c r="AF3" s="51" t="s">
        <v>8</v>
      </c>
      <c r="AG3" s="51" t="s">
        <v>52</v>
      </c>
      <c r="AH3" s="51" t="s">
        <v>88</v>
      </c>
      <c r="AI3" s="51" t="s">
        <v>51</v>
      </c>
      <c r="AJ3" s="51" t="s">
        <v>101</v>
      </c>
      <c r="AL3" s="75" t="s">
        <v>50</v>
      </c>
      <c r="AM3" s="75" t="s">
        <v>8</v>
      </c>
      <c r="AN3" s="75" t="s">
        <v>52</v>
      </c>
      <c r="AO3" s="75" t="s">
        <v>89</v>
      </c>
      <c r="AP3" s="75" t="s">
        <v>51</v>
      </c>
      <c r="AQ3" s="75" t="s">
        <v>121</v>
      </c>
    </row>
    <row r="4" spans="1:43" s="76" customFormat="1" x14ac:dyDescent="0.25">
      <c r="A4" s="76" t="s">
        <v>73</v>
      </c>
      <c r="B4" s="77">
        <v>2.9942430197939447</v>
      </c>
      <c r="C4" s="77">
        <v>245.82078929298024</v>
      </c>
      <c r="D4" s="77">
        <v>1.308093761011477E-2</v>
      </c>
      <c r="E4" s="77">
        <v>0.37853502060006283</v>
      </c>
      <c r="F4" s="77">
        <f>B4*170.4/1000/0.000001003</f>
        <v>508692.93177755555</v>
      </c>
      <c r="G4" s="77">
        <v>2.6789779840449897E-2</v>
      </c>
      <c r="H4" s="77"/>
      <c r="I4" s="77"/>
      <c r="J4" s="77">
        <v>1.2447480260748909</v>
      </c>
      <c r="K4" s="77">
        <v>180.07732451971304</v>
      </c>
      <c r="L4" s="78">
        <v>5.1424583777043651E-3</v>
      </c>
      <c r="M4" s="77">
        <v>1.9373307270665555E-2</v>
      </c>
      <c r="N4" s="77">
        <f>J4*226.2/1000/0.000001003</f>
        <v>280719.84396624158</v>
      </c>
      <c r="O4" s="77">
        <v>8.9177874782473554E-5</v>
      </c>
      <c r="P4" s="77"/>
      <c r="Q4" s="77">
        <v>0.39301979965692685</v>
      </c>
      <c r="R4" s="77">
        <v>90.260249999999999</v>
      </c>
      <c r="S4" s="77"/>
      <c r="T4" s="77"/>
      <c r="U4" s="77"/>
      <c r="V4" s="77"/>
      <c r="W4" s="77"/>
      <c r="X4" s="77"/>
      <c r="Y4" s="77"/>
      <c r="Z4" s="77"/>
      <c r="AA4" s="77"/>
      <c r="AB4" s="77"/>
      <c r="AC4" s="77"/>
      <c r="AD4" s="77"/>
      <c r="AH4" s="77"/>
    </row>
    <row r="5" spans="1:43" s="76" customFormat="1" x14ac:dyDescent="0.25">
      <c r="A5" s="76" t="s">
        <v>73</v>
      </c>
      <c r="B5" s="77">
        <v>4.8168347583154967</v>
      </c>
      <c r="C5" s="77">
        <v>395.45157636017865</v>
      </c>
      <c r="D5" s="77">
        <v>1.1982095228267861E-2</v>
      </c>
      <c r="E5" s="77">
        <v>0.89732416207585897</v>
      </c>
      <c r="F5" s="77">
        <f t="shared" ref="F5:F64" si="0">B5*170.4/1000/0.000001003</f>
        <v>818333.64189128682</v>
      </c>
      <c r="G5" s="77">
        <v>1.705719828402984E-2</v>
      </c>
      <c r="H5" s="77"/>
      <c r="I5" s="77"/>
      <c r="J5" s="77">
        <v>1.730527133123499</v>
      </c>
      <c r="K5" s="77">
        <v>250.35484259759707</v>
      </c>
      <c r="L5" s="78">
        <v>4.0307095950435409E-3</v>
      </c>
      <c r="M5" s="77">
        <v>2.935002152981548E-2</v>
      </c>
      <c r="N5" s="77">
        <f t="shared" ref="N5:N68" si="1">J5*226.2/1000/0.000001003</f>
        <v>390274.41426972632</v>
      </c>
      <c r="O5" s="77">
        <v>1.1147413860723222E-5</v>
      </c>
      <c r="P5" s="77"/>
      <c r="Q5" s="77">
        <v>0.77983298651994959</v>
      </c>
      <c r="R5" s="77">
        <v>179.0951</v>
      </c>
      <c r="S5" s="77"/>
      <c r="T5" s="77"/>
      <c r="U5" s="77"/>
      <c r="V5" s="77"/>
      <c r="W5" s="77"/>
      <c r="X5" s="77"/>
      <c r="Y5" s="77"/>
      <c r="Z5" s="77"/>
      <c r="AA5" s="77"/>
      <c r="AB5" s="77"/>
      <c r="AC5" s="77"/>
      <c r="AD5" s="77"/>
      <c r="AH5" s="77"/>
    </row>
    <row r="6" spans="1:43" s="76" customFormat="1" x14ac:dyDescent="0.25">
      <c r="A6" s="76" t="s">
        <v>73</v>
      </c>
      <c r="B6" s="77">
        <v>8.576484429899967</v>
      </c>
      <c r="C6" s="77">
        <v>704.11057418514122</v>
      </c>
      <c r="D6" s="77">
        <v>1.159560474428716E-2</v>
      </c>
      <c r="E6" s="77">
        <v>2.7529930142777448</v>
      </c>
      <c r="F6" s="77">
        <f t="shared" si="0"/>
        <v>1457061.7615702439</v>
      </c>
      <c r="G6" s="77">
        <v>1.4335343615652878E-2</v>
      </c>
      <c r="H6" s="77"/>
      <c r="I6" s="77"/>
      <c r="J6" s="77">
        <v>2.0820465833562762</v>
      </c>
      <c r="K6" s="77">
        <v>301.20905629269106</v>
      </c>
      <c r="L6" s="78">
        <v>2.7845655832371432E-3</v>
      </c>
      <c r="M6" s="77">
        <v>2.935002152981548E-2</v>
      </c>
      <c r="N6" s="77">
        <f t="shared" si="1"/>
        <v>469550.28629630076</v>
      </c>
      <c r="O6" s="77">
        <v>2.8017617638793125E-7</v>
      </c>
      <c r="P6" s="77"/>
      <c r="Q6" s="77">
        <v>1.1692424220699131</v>
      </c>
      <c r="R6" s="77">
        <v>268.52620000000002</v>
      </c>
      <c r="S6" s="77"/>
      <c r="T6" s="77"/>
      <c r="U6" s="77"/>
      <c r="V6" s="77"/>
      <c r="W6" s="77"/>
      <c r="X6" s="77"/>
      <c r="Y6" s="77"/>
      <c r="Z6" s="77"/>
      <c r="AA6" s="77"/>
      <c r="AB6" s="77"/>
      <c r="AC6" s="77"/>
      <c r="AD6" s="77"/>
      <c r="AH6" s="77"/>
    </row>
    <row r="7" spans="1:43" s="76" customFormat="1" x14ac:dyDescent="0.25">
      <c r="A7" s="76" t="s">
        <v>73</v>
      </c>
      <c r="B7" s="77">
        <v>11.025767603570632</v>
      </c>
      <c r="C7" s="77">
        <v>905.19135452713635</v>
      </c>
      <c r="D7" s="77">
        <v>1.1236780511072289E-2</v>
      </c>
      <c r="E7" s="77">
        <v>4.409127581296632</v>
      </c>
      <c r="F7" s="77">
        <f t="shared" si="0"/>
        <v>1873171.2857910625</v>
      </c>
      <c r="G7" s="77">
        <v>1.2101912454832567E-2</v>
      </c>
      <c r="H7" s="77"/>
      <c r="I7" s="77"/>
      <c r="J7" s="77">
        <v>2.7437302543826805</v>
      </c>
      <c r="K7" s="77">
        <v>396.93463501286806</v>
      </c>
      <c r="L7" s="78">
        <v>3.2385938402762675E-3</v>
      </c>
      <c r="M7" s="77">
        <v>5.9280164307265258E-2</v>
      </c>
      <c r="N7" s="77">
        <f t="shared" si="1"/>
        <v>618775.45716985269</v>
      </c>
      <c r="O7" s="77">
        <v>1.3698813152578445E-6</v>
      </c>
      <c r="P7" s="77"/>
      <c r="Q7" s="77">
        <v>1.5579347051523895</v>
      </c>
      <c r="R7" s="77">
        <v>357.79259999999999</v>
      </c>
      <c r="S7" s="77"/>
      <c r="T7" s="77"/>
      <c r="U7" s="77"/>
      <c r="V7" s="77"/>
      <c r="W7" s="77"/>
      <c r="X7" s="77"/>
      <c r="Y7" s="77"/>
      <c r="Z7" s="77"/>
      <c r="AA7" s="77"/>
      <c r="AB7" s="77"/>
      <c r="AC7" s="77"/>
      <c r="AD7" s="77"/>
      <c r="AH7" s="77"/>
    </row>
    <row r="8" spans="1:43" s="76" customFormat="1" x14ac:dyDescent="0.25">
      <c r="A8" s="76" t="s">
        <v>73</v>
      </c>
      <c r="B8" s="77">
        <v>13.695486262871658</v>
      </c>
      <c r="C8" s="77">
        <v>1124.3694050999111</v>
      </c>
      <c r="D8" s="77">
        <v>1.0923402209949582E-2</v>
      </c>
      <c r="E8" s="77">
        <v>6.6131129047407446</v>
      </c>
      <c r="F8" s="77">
        <f t="shared" si="0"/>
        <v>2326730.6671917555</v>
      </c>
      <c r="G8" s="77">
        <v>1.0367468811157951E-2</v>
      </c>
      <c r="H8" s="77"/>
      <c r="I8" s="77"/>
      <c r="J8" s="77">
        <v>3.1297123958147495</v>
      </c>
      <c r="K8" s="77">
        <v>452.77455593297128</v>
      </c>
      <c r="L8" s="78">
        <v>2.0701335388731688E-3</v>
      </c>
      <c r="M8" s="77">
        <v>4.930345004811533E-2</v>
      </c>
      <c r="N8" s="77">
        <f t="shared" si="1"/>
        <v>705823.47351275792</v>
      </c>
      <c r="O8" s="77">
        <v>8.5777667248819494E-9</v>
      </c>
      <c r="P8" s="77"/>
      <c r="Q8" s="77">
        <v>2.3393626701109578</v>
      </c>
      <c r="R8" s="77">
        <v>537.25400000000002</v>
      </c>
      <c r="S8" s="77"/>
      <c r="T8" s="77"/>
      <c r="U8" s="77"/>
      <c r="V8" s="77"/>
      <c r="W8" s="77"/>
      <c r="X8" s="77"/>
      <c r="Y8" s="77"/>
      <c r="Z8" s="77"/>
      <c r="AA8" s="77"/>
      <c r="AB8" s="77"/>
      <c r="AC8" s="77"/>
      <c r="AD8" s="77"/>
    </row>
    <row r="9" spans="1:43" s="76" customFormat="1" x14ac:dyDescent="0.25">
      <c r="A9" s="76" t="s">
        <v>73</v>
      </c>
      <c r="B9" s="77"/>
      <c r="C9" s="77"/>
      <c r="D9" s="77"/>
      <c r="E9" s="77"/>
      <c r="F9" s="77"/>
      <c r="G9" s="77"/>
      <c r="H9" s="77"/>
      <c r="I9" s="77"/>
      <c r="J9" s="77">
        <v>4.7563514204213275</v>
      </c>
      <c r="K9" s="77">
        <v>688.09993695340643</v>
      </c>
      <c r="L9" s="78">
        <v>1.07768401299117E-3</v>
      </c>
      <c r="M9" s="77">
        <v>5.9280164307265258E-2</v>
      </c>
      <c r="N9" s="77">
        <f t="shared" si="1"/>
        <v>1072668.6852435735</v>
      </c>
      <c r="O9" s="77">
        <v>4.9185750713091722E-13</v>
      </c>
      <c r="P9" s="77"/>
      <c r="Q9" s="77"/>
      <c r="R9" s="77"/>
      <c r="S9" s="77"/>
      <c r="T9" s="77"/>
      <c r="U9" s="77"/>
      <c r="V9" s="77"/>
      <c r="W9" s="77"/>
      <c r="X9" s="77"/>
      <c r="Y9" s="77"/>
      <c r="Z9" s="77"/>
      <c r="AA9" s="77"/>
      <c r="AB9" s="77"/>
      <c r="AC9" s="77"/>
      <c r="AD9" s="77"/>
    </row>
    <row r="10" spans="1:43" x14ac:dyDescent="0.25">
      <c r="A10" t="s">
        <v>74</v>
      </c>
      <c r="B10" s="8"/>
      <c r="C10" s="8"/>
      <c r="D10" s="8"/>
      <c r="E10" s="8"/>
      <c r="F10" s="8"/>
      <c r="G10" s="8"/>
      <c r="H10" s="8"/>
      <c r="I10" s="8"/>
      <c r="J10" s="8">
        <v>1.2668153511655595</v>
      </c>
      <c r="K10" s="8">
        <v>183.26979783832127</v>
      </c>
      <c r="L10" s="46">
        <v>3.8190870193713748E-2</v>
      </c>
      <c r="M10" s="8">
        <v>0.14902402115791444</v>
      </c>
      <c r="N10" s="8">
        <f t="shared" si="1"/>
        <v>285696.54280523385</v>
      </c>
      <c r="O10" s="8">
        <v>2.3129487591546498</v>
      </c>
      <c r="P10" s="8"/>
      <c r="Q10" s="8">
        <v>1.1467633715938852</v>
      </c>
      <c r="R10" s="8">
        <v>263.36369999999999</v>
      </c>
      <c r="S10" s="8">
        <v>0.16328765359657771</v>
      </c>
      <c r="T10" s="8">
        <v>0.41439910000000002</v>
      </c>
      <c r="U10" s="8">
        <f t="shared" ref="U10:U73" si="2">Q10*285/1000/0.000001003</f>
        <v>325850.01087164233</v>
      </c>
      <c r="V10" s="8">
        <v>61.051227092080609</v>
      </c>
      <c r="W10" s="8"/>
      <c r="X10" s="8"/>
      <c r="Y10" s="8"/>
      <c r="Z10" s="8"/>
      <c r="AA10" s="8"/>
      <c r="AB10" s="8"/>
      <c r="AC10" s="8"/>
      <c r="AD10" s="8"/>
      <c r="AE10" s="8">
        <f>'DN300 PN10_Center III'!B12</f>
        <v>0</v>
      </c>
      <c r="AF10" s="8">
        <f>'DN300 PN10_Center III'!C12</f>
        <v>0</v>
      </c>
      <c r="AG10" s="8" t="e">
        <f>'DN300 PN10_Center III'!H12</f>
        <v>#DIV/0!</v>
      </c>
      <c r="AH10">
        <f>'DN300 PN10_Center III'!E12</f>
        <v>0</v>
      </c>
      <c r="AI10">
        <f>AE10*285/1000/0.000001003</f>
        <v>0</v>
      </c>
      <c r="AJ10" t="e">
        <f>'DN300 PN10_Center III'!I12</f>
        <v>#DIV/0!</v>
      </c>
    </row>
    <row r="11" spans="1:43" x14ac:dyDescent="0.25">
      <c r="A11" t="s">
        <v>74</v>
      </c>
      <c r="B11" s="8"/>
      <c r="C11" s="8"/>
      <c r="D11" s="8"/>
      <c r="E11" s="8"/>
      <c r="F11" s="8"/>
      <c r="G11" s="8"/>
      <c r="H11" s="8"/>
      <c r="I11" s="8"/>
      <c r="J11" s="8">
        <v>1.7236345948836405</v>
      </c>
      <c r="K11" s="8">
        <v>249.35770115259521</v>
      </c>
      <c r="L11" s="46">
        <v>3.7289864455857601E-2</v>
      </c>
      <c r="M11" s="8">
        <v>0.26937128499704793</v>
      </c>
      <c r="N11" s="8">
        <f t="shared" si="1"/>
        <v>388719.98540646001</v>
      </c>
      <c r="O11" s="8">
        <v>2.1549671086150815</v>
      </c>
      <c r="P11" s="8"/>
      <c r="Q11" s="8">
        <v>1.1436922869835719</v>
      </c>
      <c r="R11" s="8">
        <v>262.65839999999997</v>
      </c>
      <c r="S11" s="8">
        <v>0.18980051650354832</v>
      </c>
      <c r="T11" s="8">
        <v>0.47910819999999998</v>
      </c>
      <c r="U11" s="8">
        <f t="shared" si="2"/>
        <v>324977.36968127423</v>
      </c>
      <c r="V11" s="8">
        <v>75.05251909270369</v>
      </c>
      <c r="W11" s="8"/>
      <c r="X11" s="8"/>
      <c r="Y11" s="8"/>
      <c r="Z11" s="8"/>
      <c r="AA11" s="8"/>
      <c r="AB11" s="8"/>
      <c r="AC11" s="8"/>
      <c r="AD11" s="8"/>
      <c r="AE11" s="8">
        <f>'DN300 PN10_Center III'!B13</f>
        <v>0</v>
      </c>
      <c r="AF11" s="8">
        <f>'DN300 PN10_Center III'!C13</f>
        <v>0</v>
      </c>
      <c r="AG11" s="8" t="e">
        <f>'DN300 PN10_Center III'!H13</f>
        <v>#DIV/0!</v>
      </c>
      <c r="AH11">
        <f>'DN300 PN10_Center III'!E13</f>
        <v>0</v>
      </c>
      <c r="AI11">
        <f t="shared" ref="AI11:AI74" si="3">AE11*285/1000/0.000001003</f>
        <v>0</v>
      </c>
      <c r="AJ11" t="e">
        <f>'DN300 PN10_Center III'!I13</f>
        <v>#DIV/0!</v>
      </c>
    </row>
    <row r="12" spans="1:43" x14ac:dyDescent="0.25">
      <c r="A12" t="s">
        <v>74</v>
      </c>
      <c r="B12" s="8"/>
      <c r="C12" s="8"/>
      <c r="D12" s="8"/>
      <c r="E12" s="8"/>
      <c r="F12" s="8"/>
      <c r="G12" s="8"/>
      <c r="H12" s="8"/>
      <c r="I12" s="8"/>
      <c r="J12" s="8">
        <v>2.0820465833562762</v>
      </c>
      <c r="K12" s="8">
        <v>301.20905629269106</v>
      </c>
      <c r="L12" s="46">
        <v>3.5906654014705587E-2</v>
      </c>
      <c r="M12" s="8">
        <v>0.37846516337751268</v>
      </c>
      <c r="N12" s="8">
        <f t="shared" si="1"/>
        <v>469550.28629630076</v>
      </c>
      <c r="O12" s="8">
        <v>1.9232678814073494</v>
      </c>
      <c r="P12" s="8"/>
      <c r="Q12" s="8">
        <v>1.5466592569765689</v>
      </c>
      <c r="R12" s="8">
        <v>355.20310000000001</v>
      </c>
      <c r="S12" s="8">
        <v>0.20154808935537585</v>
      </c>
      <c r="T12" s="8">
        <v>0.93043450000000005</v>
      </c>
      <c r="U12" s="8">
        <f t="shared" si="2"/>
        <v>439479.44988865615</v>
      </c>
      <c r="V12" s="8">
        <v>81.154887048805563</v>
      </c>
      <c r="W12" s="8"/>
      <c r="X12" s="8"/>
      <c r="Y12" s="8"/>
      <c r="Z12" s="8"/>
      <c r="AA12" s="8"/>
      <c r="AB12" s="8"/>
      <c r="AC12" s="8"/>
      <c r="AD12" s="8"/>
      <c r="AE12" s="8">
        <f>'DN300 PN10_Center III'!B14</f>
        <v>0</v>
      </c>
      <c r="AF12" s="8">
        <f>'DN300 PN10_Center III'!C14</f>
        <v>0</v>
      </c>
      <c r="AG12" s="8" t="e">
        <f>'DN300 PN10_Center III'!H14</f>
        <v>#DIV/0!</v>
      </c>
      <c r="AH12">
        <f>'DN300 PN10_Center III'!E14</f>
        <v>0</v>
      </c>
      <c r="AI12">
        <f t="shared" si="3"/>
        <v>0</v>
      </c>
      <c r="AJ12" t="e">
        <f>'DN300 PN10_Center III'!I14</f>
        <v>#DIV/0!</v>
      </c>
    </row>
    <row r="13" spans="1:43" x14ac:dyDescent="0.25">
      <c r="A13" t="s">
        <v>74</v>
      </c>
      <c r="B13" s="8"/>
      <c r="C13" s="8"/>
      <c r="D13" s="8"/>
      <c r="E13" s="8"/>
      <c r="F13" s="8"/>
      <c r="G13" s="8"/>
      <c r="H13" s="8"/>
      <c r="I13" s="8"/>
      <c r="J13" s="8">
        <v>3.0952497046154579</v>
      </c>
      <c r="K13" s="8">
        <v>447.78884870796207</v>
      </c>
      <c r="L13" s="46">
        <v>3.6802031872192817E-2</v>
      </c>
      <c r="M13" s="8">
        <v>0.85730087633500884</v>
      </c>
      <c r="N13" s="8">
        <f t="shared" si="1"/>
        <v>698051.32919642737</v>
      </c>
      <c r="O13" s="8">
        <v>2.0717440563959015</v>
      </c>
      <c r="P13" s="8"/>
      <c r="Q13" s="8">
        <v>1.5464136747108357</v>
      </c>
      <c r="R13" s="8">
        <v>355.14670000000001</v>
      </c>
      <c r="S13" s="8">
        <v>0.19406296474015525</v>
      </c>
      <c r="T13" s="8">
        <v>0.89559540000000004</v>
      </c>
      <c r="U13" s="8">
        <f t="shared" si="2"/>
        <v>439409.66828772501</v>
      </c>
      <c r="V13" s="8">
        <v>77.275039450566368</v>
      </c>
      <c r="W13" s="8"/>
      <c r="X13" s="8"/>
      <c r="Y13" s="8"/>
      <c r="Z13" s="8"/>
      <c r="AA13" s="8"/>
      <c r="AB13" s="8"/>
      <c r="AC13" s="8"/>
      <c r="AD13" s="8"/>
      <c r="AE13" s="8">
        <f>'DN300 PN10_Center III'!B15</f>
        <v>0</v>
      </c>
      <c r="AF13" s="8">
        <f>'DN300 PN10_Center III'!C15</f>
        <v>0</v>
      </c>
      <c r="AG13" s="8" t="e">
        <f>'DN300 PN10_Center III'!H15</f>
        <v>#DIV/0!</v>
      </c>
      <c r="AH13">
        <f>'DN300 PN10_Center III'!E15</f>
        <v>0</v>
      </c>
      <c r="AI13">
        <f t="shared" si="3"/>
        <v>0</v>
      </c>
      <c r="AJ13" t="e">
        <f>'DN300 PN10_Center III'!I15</f>
        <v>#DIV/0!</v>
      </c>
    </row>
    <row r="14" spans="1:43" x14ac:dyDescent="0.25">
      <c r="A14" t="s">
        <v>74</v>
      </c>
      <c r="B14" s="8"/>
      <c r="C14" s="8"/>
      <c r="D14" s="8"/>
      <c r="E14" s="8"/>
      <c r="F14" s="8"/>
      <c r="G14" s="8"/>
      <c r="H14" s="8"/>
      <c r="I14" s="8"/>
      <c r="J14" s="8">
        <v>4.7908141116206195</v>
      </c>
      <c r="K14" s="8">
        <v>693.08564417841558</v>
      </c>
      <c r="L14" s="46">
        <v>3.4860484284922132E-2</v>
      </c>
      <c r="M14" s="8">
        <v>1.945459280534235</v>
      </c>
      <c r="N14" s="8">
        <f t="shared" si="1"/>
        <v>1080440.8295599045</v>
      </c>
      <c r="O14" s="8">
        <v>1.7568682435277423</v>
      </c>
      <c r="P14" s="8"/>
      <c r="Q14" s="8">
        <v>2.3563657585765929</v>
      </c>
      <c r="R14" s="8">
        <v>541.15890000000002</v>
      </c>
      <c r="S14" s="8">
        <v>0.2051507248271161</v>
      </c>
      <c r="T14" s="8">
        <v>2.1982460000000001</v>
      </c>
      <c r="U14" s="8">
        <f t="shared" si="2"/>
        <v>669555.57447091618</v>
      </c>
      <c r="V14" s="8">
        <v>83.01127218402884</v>
      </c>
      <c r="W14" s="8"/>
      <c r="X14" s="8"/>
      <c r="Y14" s="8"/>
      <c r="Z14" s="8"/>
      <c r="AA14" s="8"/>
      <c r="AB14" s="8"/>
      <c r="AC14" s="8"/>
      <c r="AD14" s="8"/>
      <c r="AE14" s="8"/>
      <c r="AF14" s="8"/>
      <c r="AG14" s="8"/>
    </row>
    <row r="15" spans="1:43" x14ac:dyDescent="0.25">
      <c r="A15" t="s">
        <v>74</v>
      </c>
      <c r="B15" s="8"/>
      <c r="C15" s="8"/>
      <c r="D15" s="8"/>
      <c r="E15" s="8"/>
      <c r="F15" s="8"/>
      <c r="G15" s="8"/>
      <c r="H15" s="8"/>
      <c r="I15" s="8"/>
      <c r="J15" s="8"/>
      <c r="K15" s="8"/>
      <c r="L15" s="8"/>
      <c r="M15" s="8"/>
      <c r="N15" s="8"/>
      <c r="O15" s="8"/>
      <c r="P15" s="8"/>
      <c r="Q15" s="8">
        <v>2.3554935931896006</v>
      </c>
      <c r="R15" s="8">
        <v>540.95860000000005</v>
      </c>
      <c r="S15" s="8">
        <v>0.20407323796258986</v>
      </c>
      <c r="T15" s="8">
        <v>2.185082</v>
      </c>
      <c r="U15" s="8">
        <f t="shared" si="2"/>
        <v>669307.75080661627</v>
      </c>
      <c r="V15" s="8">
        <v>82.456830799846557</v>
      </c>
      <c r="W15" s="8"/>
      <c r="X15" s="8"/>
      <c r="Y15" s="8"/>
      <c r="Z15" s="8"/>
      <c r="AA15" s="8"/>
      <c r="AB15" s="8"/>
      <c r="AC15" s="8"/>
      <c r="AD15" s="8"/>
      <c r="AE15" s="8"/>
      <c r="AF15" s="8"/>
      <c r="AG15" s="8"/>
    </row>
    <row r="16" spans="1:43" x14ac:dyDescent="0.25">
      <c r="A16" t="s">
        <v>74</v>
      </c>
      <c r="B16" s="8"/>
      <c r="C16" s="8"/>
      <c r="D16" s="8"/>
      <c r="E16" s="8"/>
      <c r="F16" s="8"/>
      <c r="G16" s="8"/>
      <c r="H16" s="8"/>
      <c r="I16" s="8"/>
      <c r="J16" s="8"/>
      <c r="K16" s="8"/>
      <c r="L16" s="8"/>
      <c r="M16" s="8"/>
      <c r="N16" s="8"/>
      <c r="O16" s="8"/>
      <c r="P16" s="8"/>
      <c r="Q16" s="8">
        <v>3.0273430995216266</v>
      </c>
      <c r="R16" s="8">
        <v>695.25440000000003</v>
      </c>
      <c r="S16" s="8">
        <v>0.20996554884731478</v>
      </c>
      <c r="T16" s="8">
        <v>3.713549</v>
      </c>
      <c r="U16" s="8">
        <f t="shared" si="2"/>
        <v>860212.14692289499</v>
      </c>
      <c r="V16" s="8">
        <v>85.48061214406863</v>
      </c>
      <c r="W16" s="8"/>
      <c r="X16" s="8"/>
      <c r="Y16" s="8"/>
      <c r="Z16" s="8"/>
      <c r="AA16" s="8"/>
      <c r="AB16" s="8"/>
      <c r="AC16" s="8"/>
      <c r="AD16" s="8"/>
      <c r="AE16" s="8">
        <f>'DN300 PN10_Center III'!B18</f>
        <v>0</v>
      </c>
      <c r="AF16" s="8">
        <f>'DN300 PN10_Center III'!C18</f>
        <v>0</v>
      </c>
      <c r="AG16" s="8" t="e">
        <f>'DN300 PN10_Center III'!H18</f>
        <v>#DIV/0!</v>
      </c>
      <c r="AH16">
        <f>'DN300 PN10_Center III'!E18</f>
        <v>0</v>
      </c>
      <c r="AI16">
        <f t="shared" si="3"/>
        <v>0</v>
      </c>
      <c r="AJ16" t="e">
        <f>'DN300 PN10_Center III'!I18</f>
        <v>#DIV/0!</v>
      </c>
    </row>
    <row r="17" spans="1:43" x14ac:dyDescent="0.25">
      <c r="A17" t="s">
        <v>74</v>
      </c>
      <c r="B17" s="8"/>
      <c r="C17" s="8"/>
      <c r="D17" s="8"/>
      <c r="E17" s="8"/>
      <c r="F17" s="8"/>
      <c r="G17" s="8"/>
      <c r="H17" s="8"/>
      <c r="I17" s="8"/>
      <c r="J17" s="8"/>
      <c r="K17" s="8"/>
      <c r="L17" s="8"/>
      <c r="M17" s="8"/>
      <c r="N17" s="8"/>
      <c r="O17" s="8"/>
      <c r="P17" s="8"/>
      <c r="Q17" s="8">
        <v>3.0305038826190698</v>
      </c>
      <c r="R17" s="8">
        <v>695.98030000000006</v>
      </c>
      <c r="S17" s="8">
        <v>0.21282901885210273</v>
      </c>
      <c r="T17" s="8">
        <v>3.7720579999999999</v>
      </c>
      <c r="U17" s="8">
        <f t="shared" si="2"/>
        <v>861110.2757192771</v>
      </c>
      <c r="V17" s="8">
        <v>86.942678916879402</v>
      </c>
      <c r="W17" s="8"/>
      <c r="X17" s="8"/>
      <c r="Y17" s="8"/>
      <c r="Z17" s="8"/>
      <c r="AA17" s="8"/>
      <c r="AB17" s="8"/>
      <c r="AC17" s="8"/>
      <c r="AD17" s="8"/>
      <c r="AE17" s="8">
        <f>'DN300 PN10_Center III'!B19</f>
        <v>0</v>
      </c>
      <c r="AF17" s="8">
        <f>'DN300 PN10_Center III'!C19</f>
        <v>0</v>
      </c>
      <c r="AG17" s="8" t="e">
        <f>'DN300 PN10_Center III'!H19</f>
        <v>#DIV/0!</v>
      </c>
      <c r="AH17">
        <f>'DN300 PN10_Center III'!E19</f>
        <v>0</v>
      </c>
      <c r="AI17">
        <f t="shared" si="3"/>
        <v>0</v>
      </c>
      <c r="AJ17" t="e">
        <f>'DN300 PN10_Center III'!I19</f>
        <v>#DIV/0!</v>
      </c>
    </row>
    <row r="18" spans="1:43" x14ac:dyDescent="0.25">
      <c r="A18" t="s">
        <v>74</v>
      </c>
      <c r="B18" s="8"/>
      <c r="C18" s="8"/>
      <c r="D18" s="8"/>
      <c r="E18" s="8"/>
      <c r="F18" s="8"/>
      <c r="G18" s="8"/>
      <c r="H18" s="8"/>
      <c r="I18" s="8"/>
      <c r="J18" s="8"/>
      <c r="K18" s="8"/>
      <c r="L18" s="8"/>
      <c r="M18" s="8"/>
      <c r="N18" s="8"/>
      <c r="O18" s="8"/>
      <c r="P18" s="8"/>
      <c r="Q18" s="8">
        <v>3.9286496090924117</v>
      </c>
      <c r="R18" s="8">
        <v>902.24689999999998</v>
      </c>
      <c r="S18" s="8">
        <v>0.19087777467827477</v>
      </c>
      <c r="T18" s="8">
        <v>5.6853837712721917</v>
      </c>
      <c r="U18" s="8">
        <f t="shared" si="2"/>
        <v>1116316.1900212737</v>
      </c>
      <c r="V18" s="8">
        <v>75.615084941542491</v>
      </c>
      <c r="W18" s="8"/>
      <c r="X18" s="8"/>
      <c r="Y18" s="8"/>
      <c r="Z18" s="8"/>
      <c r="AA18" s="8"/>
      <c r="AB18" s="8"/>
      <c r="AC18" s="8"/>
      <c r="AD18" s="8"/>
      <c r="AE18" s="8">
        <f>'DN300 PN10_Center III'!B20</f>
        <v>0</v>
      </c>
      <c r="AF18" s="8">
        <f>'DN300 PN10_Center III'!C20</f>
        <v>0</v>
      </c>
      <c r="AG18" s="8" t="e">
        <f>'DN300 PN10_Center III'!H20</f>
        <v>#DIV/0!</v>
      </c>
      <c r="AH18">
        <f>'DN300 PN10_Center III'!E20</f>
        <v>0</v>
      </c>
      <c r="AI18">
        <f t="shared" si="3"/>
        <v>0</v>
      </c>
      <c r="AJ18" t="e">
        <f>'DN300 PN10_Center III'!I20</f>
        <v>#DIV/0!</v>
      </c>
    </row>
    <row r="19" spans="1:43" x14ac:dyDescent="0.25">
      <c r="A19" t="s">
        <v>74</v>
      </c>
      <c r="B19" s="8"/>
      <c r="C19" s="8"/>
      <c r="D19" s="8"/>
      <c r="E19" s="8"/>
      <c r="F19" s="8"/>
      <c r="G19" s="8"/>
      <c r="H19" s="8"/>
      <c r="I19" s="8"/>
      <c r="J19" s="8"/>
      <c r="K19" s="8"/>
      <c r="L19" s="8"/>
      <c r="M19" s="8"/>
      <c r="N19" s="8"/>
      <c r="O19" s="8"/>
      <c r="P19" s="8"/>
      <c r="Q19" s="8">
        <v>3.9421984349444616</v>
      </c>
      <c r="R19" s="8">
        <v>905.35850000000005</v>
      </c>
      <c r="S19" s="8">
        <v>0.18971385647660702</v>
      </c>
      <c r="T19" s="8">
        <v>5.6897586437864947</v>
      </c>
      <c r="U19" s="8">
        <f t="shared" si="2"/>
        <v>1120166.0557917964</v>
      </c>
      <c r="V19" s="8">
        <v>75.007238571788037</v>
      </c>
      <c r="W19" s="8"/>
      <c r="X19" s="8"/>
      <c r="Y19" s="8"/>
      <c r="Z19" s="8"/>
      <c r="AA19" s="8"/>
      <c r="AB19" s="8"/>
      <c r="AC19" s="8"/>
      <c r="AD19" s="8"/>
      <c r="AE19" s="8">
        <f>'DN300 PN10_Center III'!B21</f>
        <v>0</v>
      </c>
      <c r="AF19" s="8">
        <f>'DN300 PN10_Center III'!C21</f>
        <v>0</v>
      </c>
      <c r="AG19" s="8" t="e">
        <f>'DN300 PN10_Center III'!H21</f>
        <v>#DIV/0!</v>
      </c>
      <c r="AH19">
        <f>'DN300 PN10_Center III'!E21</f>
        <v>0</v>
      </c>
      <c r="AI19">
        <f t="shared" si="3"/>
        <v>0</v>
      </c>
      <c r="AJ19" t="e">
        <f>'DN300 PN10_Center III'!I21</f>
        <v>#DIV/0!</v>
      </c>
    </row>
    <row r="20" spans="1:43" s="76" customFormat="1" x14ac:dyDescent="0.25">
      <c r="A20" s="76" t="s">
        <v>75</v>
      </c>
      <c r="B20" s="77"/>
      <c r="C20" s="77"/>
      <c r="D20" s="77"/>
      <c r="E20" s="77"/>
      <c r="F20" s="77"/>
      <c r="G20" s="77"/>
      <c r="H20" s="77"/>
      <c r="I20" s="77"/>
      <c r="J20" s="77">
        <v>1.251644065165725</v>
      </c>
      <c r="K20" s="77">
        <v>181.07497243177812</v>
      </c>
      <c r="L20" s="77">
        <v>8.8885632062621803E-2</v>
      </c>
      <c r="M20" s="77">
        <v>0.33858159208176297</v>
      </c>
      <c r="N20" s="77">
        <f t="shared" si="1"/>
        <v>282275.06235342671</v>
      </c>
      <c r="O20" s="77">
        <v>17.604050985161773</v>
      </c>
      <c r="P20" s="77"/>
      <c r="Q20" s="77">
        <v>1.1715741473057315</v>
      </c>
      <c r="R20" s="77">
        <v>269.06169999999997</v>
      </c>
      <c r="S20" s="77">
        <v>9.9986328334632654E-2</v>
      </c>
      <c r="T20" s="77">
        <v>0.2648488</v>
      </c>
      <c r="U20" s="77">
        <f t="shared" si="2"/>
        <v>332899.9321855767</v>
      </c>
      <c r="V20" s="77">
        <v>27.656655428787356</v>
      </c>
      <c r="W20" s="77"/>
      <c r="X20" s="77"/>
      <c r="Y20" s="77"/>
      <c r="Z20" s="77"/>
      <c r="AA20" s="77"/>
      <c r="AB20" s="77"/>
      <c r="AC20" s="77"/>
      <c r="AD20" s="77"/>
      <c r="AL20" s="76">
        <v>0.63361848702665624</v>
      </c>
      <c r="AM20" s="76">
        <v>91.665396947674182</v>
      </c>
      <c r="AN20" s="76">
        <v>2.2798410096662733</v>
      </c>
      <c r="AO20" s="76">
        <v>2.225514</v>
      </c>
      <c r="AP20" s="76">
        <f>AL20*226.2/1000/0.000001003</f>
        <v>142895.81432246225</v>
      </c>
      <c r="AQ20" s="76">
        <v>390.43585130797965</v>
      </c>
    </row>
    <row r="21" spans="1:43" s="76" customFormat="1" x14ac:dyDescent="0.25">
      <c r="A21" s="76" t="s">
        <v>75</v>
      </c>
      <c r="B21" s="77"/>
      <c r="C21" s="77"/>
      <c r="D21" s="77"/>
      <c r="E21" s="77"/>
      <c r="F21" s="77"/>
      <c r="G21" s="77"/>
      <c r="H21" s="77"/>
      <c r="I21" s="77"/>
      <c r="J21" s="77">
        <v>1.7164370998879286</v>
      </c>
      <c r="K21" s="77">
        <v>248.31644170496318</v>
      </c>
      <c r="L21" s="77">
        <v>8.4955498769417395E-2</v>
      </c>
      <c r="M21" s="77">
        <v>0.60857956980814543</v>
      </c>
      <c r="N21" s="77">
        <f t="shared" si="1"/>
        <v>387096.78164970031</v>
      </c>
      <c r="O21" s="77">
        <v>16.116078038496909</v>
      </c>
      <c r="P21" s="77"/>
      <c r="Q21" s="77">
        <v>1.1709597562118492</v>
      </c>
      <c r="R21" s="77">
        <v>268.92059999999998</v>
      </c>
      <c r="S21" s="77">
        <v>0.15446363344242445</v>
      </c>
      <c r="T21" s="77">
        <v>0.40872199999999997</v>
      </c>
      <c r="U21" s="77">
        <f t="shared" si="2"/>
        <v>332725.35445700603</v>
      </c>
      <c r="V21" s="77">
        <v>56.343292215928045</v>
      </c>
      <c r="W21" s="77"/>
      <c r="X21" s="77"/>
      <c r="Y21" s="77"/>
      <c r="Z21" s="77"/>
      <c r="AA21" s="77"/>
      <c r="AB21" s="77"/>
      <c r="AC21" s="77"/>
      <c r="AD21" s="77"/>
      <c r="AL21" s="76">
        <v>1.2305478342964162</v>
      </c>
      <c r="AM21" s="76">
        <v>178.02298702363518</v>
      </c>
      <c r="AN21" s="76">
        <v>0.63491495449288948</v>
      </c>
      <c r="AO21" s="76">
        <v>2.3376670000000002</v>
      </c>
      <c r="AP21" s="76">
        <f t="shared" ref="AP21:AP84" si="4">AL21*226.2/1000/0.000001003</f>
        <v>277517.36801380798</v>
      </c>
      <c r="AQ21" s="76">
        <v>197.33153661626238</v>
      </c>
    </row>
    <row r="22" spans="1:43" s="76" customFormat="1" x14ac:dyDescent="0.25">
      <c r="A22" s="76" t="s">
        <v>75</v>
      </c>
      <c r="B22" s="77"/>
      <c r="C22" s="77"/>
      <c r="D22" s="77"/>
      <c r="E22" s="77"/>
      <c r="F22" s="77"/>
      <c r="G22" s="77"/>
      <c r="H22" s="77"/>
      <c r="I22" s="77"/>
      <c r="J22" s="77">
        <v>2.0751540451164177</v>
      </c>
      <c r="K22" s="77">
        <v>300.21191484768923</v>
      </c>
      <c r="L22" s="77">
        <v>8.5692887934157108E-2</v>
      </c>
      <c r="M22" s="77">
        <v>0.8972543048533087</v>
      </c>
      <c r="N22" s="77">
        <f t="shared" si="1"/>
        <v>467995.85743303457</v>
      </c>
      <c r="O22" s="77">
        <v>16.392907401384051</v>
      </c>
      <c r="P22" s="77"/>
      <c r="Q22" s="77">
        <v>1.5594216970628132</v>
      </c>
      <c r="R22" s="77">
        <v>358.13409999999999</v>
      </c>
      <c r="S22" s="77">
        <v>0.19703600685403425</v>
      </c>
      <c r="T22" s="77">
        <v>0.92467809999999995</v>
      </c>
      <c r="U22" s="77">
        <f t="shared" si="2"/>
        <v>443105.86606470763</v>
      </c>
      <c r="V22" s="77">
        <v>78.819694493048218</v>
      </c>
      <c r="W22" s="77"/>
      <c r="X22" s="77"/>
      <c r="Y22" s="77"/>
      <c r="Z22" s="77"/>
      <c r="AA22" s="77"/>
      <c r="AB22" s="77"/>
      <c r="AC22" s="77"/>
      <c r="AD22" s="77"/>
      <c r="AL22" s="76">
        <v>1.8630588456797617</v>
      </c>
      <c r="AM22" s="76">
        <v>269.52816580133401</v>
      </c>
      <c r="AN22" s="76">
        <v>0.36312435766561924</v>
      </c>
      <c r="AO22" s="76">
        <v>3.0646339999999999</v>
      </c>
      <c r="AP22" s="76">
        <f t="shared" si="4"/>
        <v>420163.42063086951</v>
      </c>
      <c r="AQ22" s="76">
        <v>123.86647458752695</v>
      </c>
    </row>
    <row r="23" spans="1:43" s="76" customFormat="1" x14ac:dyDescent="0.25">
      <c r="A23" s="76" t="s">
        <v>75</v>
      </c>
      <c r="B23" s="77"/>
      <c r="C23" s="77"/>
      <c r="D23" s="77"/>
      <c r="E23" s="77"/>
      <c r="F23" s="77"/>
      <c r="G23" s="77"/>
      <c r="H23" s="77"/>
      <c r="I23" s="77"/>
      <c r="J23" s="77">
        <v>3.102142242855316</v>
      </c>
      <c r="K23" s="77">
        <v>448.7859901529639</v>
      </c>
      <c r="L23" s="77">
        <v>8.4392927923582217E-2</v>
      </c>
      <c r="M23" s="77">
        <v>1.9746928733598004</v>
      </c>
      <c r="N23" s="77">
        <f t="shared" si="1"/>
        <v>699605.75805969338</v>
      </c>
      <c r="O23" s="77">
        <v>15.905643227562066</v>
      </c>
      <c r="P23" s="77"/>
      <c r="Q23" s="77">
        <v>1.5633105183664726</v>
      </c>
      <c r="R23" s="77">
        <v>359.02719999999999</v>
      </c>
      <c r="S23" s="77">
        <v>0.18805690779659082</v>
      </c>
      <c r="T23" s="77">
        <v>0.88694689999999998</v>
      </c>
      <c r="U23" s="77">
        <f t="shared" si="2"/>
        <v>444210.86513902765</v>
      </c>
      <c r="V23" s="77">
        <v>74.14076560493865</v>
      </c>
      <c r="W23" s="77"/>
      <c r="X23" s="77"/>
      <c r="Y23" s="77"/>
      <c r="Z23" s="77"/>
      <c r="AA23" s="77"/>
      <c r="AB23" s="77"/>
      <c r="AC23" s="77"/>
      <c r="AD23" s="77"/>
      <c r="AL23" s="76">
        <v>2.4863642190062532</v>
      </c>
      <c r="AM23" s="76">
        <v>359.70156767555585</v>
      </c>
      <c r="AN23" s="76">
        <v>0.24844137586020532</v>
      </c>
      <c r="AO23" s="76">
        <v>3.734423</v>
      </c>
      <c r="AP23" s="76">
        <f t="shared" si="4"/>
        <v>560733.38618067245</v>
      </c>
      <c r="AQ23" s="76">
        <v>83.092614531852306</v>
      </c>
    </row>
    <row r="24" spans="1:43" s="76" customFormat="1" x14ac:dyDescent="0.25">
      <c r="A24" s="76" t="s">
        <v>75</v>
      </c>
      <c r="B24" s="77"/>
      <c r="C24" s="77"/>
      <c r="D24" s="77"/>
      <c r="E24" s="77"/>
      <c r="F24" s="77"/>
      <c r="G24" s="77"/>
      <c r="H24" s="77"/>
      <c r="I24" s="77"/>
      <c r="J24" s="77">
        <v>4.7701364969010438</v>
      </c>
      <c r="K24" s="77">
        <v>690.09421984341009</v>
      </c>
      <c r="L24" s="77">
        <v>8.3129804153164621E-2</v>
      </c>
      <c r="M24" s="77">
        <v>4.5992652734681156</v>
      </c>
      <c r="N24" s="77">
        <f t="shared" si="1"/>
        <v>1075777.5429701058</v>
      </c>
      <c r="O24" s="77">
        <v>15.43563489442136</v>
      </c>
      <c r="P24" s="77"/>
      <c r="Q24" s="77">
        <v>2.3629620808170064</v>
      </c>
      <c r="R24" s="77">
        <v>542.67380000000003</v>
      </c>
      <c r="S24" s="77">
        <v>0.20682439671066424</v>
      </c>
      <c r="T24" s="77">
        <v>2.2286049999999999</v>
      </c>
      <c r="U24" s="77">
        <f t="shared" si="2"/>
        <v>671429.90332287818</v>
      </c>
      <c r="V24" s="77">
        <v>83.87116794369885</v>
      </c>
      <c r="W24" s="77"/>
      <c r="X24" s="77"/>
      <c r="Y24" s="77"/>
      <c r="Z24" s="77"/>
      <c r="AA24" s="77"/>
      <c r="AB24" s="77"/>
      <c r="AC24" s="77"/>
      <c r="AD24" s="77"/>
      <c r="AL24" s="76">
        <v>3.7653855761277688</v>
      </c>
      <c r="AM24" s="76">
        <v>544.73720474364586</v>
      </c>
      <c r="AN24" s="76">
        <v>0.1545243947513246</v>
      </c>
      <c r="AO24" s="76">
        <v>5.3270411228115169</v>
      </c>
      <c r="AP24" s="76">
        <f t="shared" si="4"/>
        <v>849182.66931216477</v>
      </c>
      <c r="AQ24" s="76">
        <v>44.744546414916215</v>
      </c>
    </row>
    <row r="25" spans="1:43" s="76" customFormat="1" x14ac:dyDescent="0.25">
      <c r="A25" s="76" t="s">
        <v>75</v>
      </c>
      <c r="B25" s="77"/>
      <c r="C25" s="77"/>
      <c r="D25" s="77"/>
      <c r="E25" s="77"/>
      <c r="F25" s="77"/>
      <c r="G25" s="77"/>
      <c r="H25" s="77"/>
      <c r="I25" s="77"/>
      <c r="J25" s="77"/>
      <c r="K25" s="77"/>
      <c r="L25" s="77"/>
      <c r="M25" s="77"/>
      <c r="N25" s="77"/>
      <c r="O25" s="77"/>
      <c r="P25" s="77"/>
      <c r="Q25" s="77">
        <v>2.3657314127497431</v>
      </c>
      <c r="R25" s="77">
        <v>543.3098</v>
      </c>
      <c r="S25" s="77">
        <v>0.20619028510982496</v>
      </c>
      <c r="T25" s="77">
        <v>2.2269830000000002</v>
      </c>
      <c r="U25" s="77">
        <f t="shared" si="2"/>
        <v>672216.80222699582</v>
      </c>
      <c r="V25" s="77">
        <v>83.545565904873229</v>
      </c>
      <c r="W25" s="77"/>
      <c r="X25" s="77"/>
      <c r="Y25" s="77"/>
      <c r="Z25" s="77"/>
      <c r="AA25" s="77"/>
      <c r="AB25" s="77"/>
      <c r="AC25" s="77"/>
      <c r="AD25" s="77"/>
      <c r="AL25" s="76">
        <v>4.8194671782171241</v>
      </c>
      <c r="AM25" s="76">
        <v>697.23087475030434</v>
      </c>
      <c r="AN25" s="76">
        <v>0.13546118946135477</v>
      </c>
      <c r="AO25" s="76">
        <v>7.6503803552480996</v>
      </c>
      <c r="AP25" s="76">
        <f t="shared" si="4"/>
        <v>1086902.7674104818</v>
      </c>
      <c r="AQ25" s="76">
        <v>36.659386538909025</v>
      </c>
    </row>
    <row r="26" spans="1:43" s="76" customFormat="1" x14ac:dyDescent="0.25">
      <c r="A26" s="76" t="s">
        <v>75</v>
      </c>
      <c r="B26" s="77"/>
      <c r="C26" s="77"/>
      <c r="D26" s="77"/>
      <c r="E26" s="77"/>
      <c r="F26" s="77"/>
      <c r="G26" s="77"/>
      <c r="H26" s="77"/>
      <c r="I26" s="77"/>
      <c r="J26" s="77"/>
      <c r="K26" s="77"/>
      <c r="L26" s="77"/>
      <c r="M26" s="77"/>
      <c r="N26" s="77"/>
      <c r="O26" s="77"/>
      <c r="P26" s="77"/>
      <c r="Q26" s="77">
        <v>3.009803561851411</v>
      </c>
      <c r="R26" s="77">
        <v>691.22630000000004</v>
      </c>
      <c r="S26" s="77">
        <v>0.22464481843558864</v>
      </c>
      <c r="T26" s="77">
        <v>3.9272680000000002</v>
      </c>
      <c r="U26" s="77">
        <f t="shared" si="2"/>
        <v>855228.33013724035</v>
      </c>
      <c r="V26" s="77">
        <v>92.922536706640372</v>
      </c>
      <c r="W26" s="77"/>
      <c r="X26" s="77"/>
      <c r="Y26" s="77"/>
      <c r="Z26" s="77"/>
      <c r="AA26" s="77"/>
      <c r="AB26" s="77"/>
      <c r="AC26" s="77"/>
      <c r="AD26" s="77"/>
      <c r="AL26" s="76">
        <v>6.2122539664292331</v>
      </c>
      <c r="AM26" s="76">
        <v>898.724922697122</v>
      </c>
      <c r="AN26" s="76">
        <v>0.1255501166636159</v>
      </c>
      <c r="AO26" s="76">
        <v>11.78109379386753</v>
      </c>
      <c r="AP26" s="76">
        <f t="shared" si="4"/>
        <v>1401008.8207440602</v>
      </c>
      <c r="AQ26" s="76">
        <v>32.47749002443642</v>
      </c>
    </row>
    <row r="27" spans="1:43" s="76" customFormat="1" x14ac:dyDescent="0.25">
      <c r="A27" s="76" t="s">
        <v>75</v>
      </c>
      <c r="B27" s="77"/>
      <c r="C27" s="77"/>
      <c r="D27" s="77"/>
      <c r="E27" s="77"/>
      <c r="F27" s="77"/>
      <c r="G27" s="77"/>
      <c r="H27" s="77"/>
      <c r="I27" s="77"/>
      <c r="J27" s="77"/>
      <c r="K27" s="77"/>
      <c r="L27" s="77"/>
      <c r="M27" s="77"/>
      <c r="N27" s="77"/>
      <c r="O27" s="77"/>
      <c r="P27" s="77"/>
      <c r="Q27" s="77">
        <v>3.0132734999287663</v>
      </c>
      <c r="R27" s="77">
        <v>692.02319999999997</v>
      </c>
      <c r="S27" s="77">
        <v>0.22199698465413992</v>
      </c>
      <c r="T27" s="77">
        <v>3.8899319999999999</v>
      </c>
      <c r="U27" s="77">
        <f t="shared" si="2"/>
        <v>856214.30456600036</v>
      </c>
      <c r="V27" s="77">
        <v>91.590088185753586</v>
      </c>
      <c r="W27" s="77"/>
      <c r="X27" s="77"/>
      <c r="Y27" s="77"/>
      <c r="Z27" s="77"/>
      <c r="AA27" s="77"/>
      <c r="AB27" s="77"/>
      <c r="AC27" s="77"/>
      <c r="AD27" s="77"/>
      <c r="AL27" s="76">
        <v>8.345420767121789</v>
      </c>
      <c r="AM27" s="76">
        <v>1207.3295255373434</v>
      </c>
      <c r="AN27" s="76">
        <v>0.11655961037612859</v>
      </c>
      <c r="AO27" s="76">
        <v>19.738523016933872</v>
      </c>
      <c r="AP27" s="76">
        <f t="shared" si="4"/>
        <v>1882087.9137816038</v>
      </c>
      <c r="AQ27" s="76">
        <v>28.719185557838642</v>
      </c>
    </row>
    <row r="28" spans="1:43" s="76" customFormat="1" x14ac:dyDescent="0.25">
      <c r="A28" s="76" t="s">
        <v>75</v>
      </c>
      <c r="B28" s="77"/>
      <c r="C28" s="77"/>
      <c r="D28" s="77"/>
      <c r="E28" s="77"/>
      <c r="F28" s="77"/>
      <c r="G28" s="77"/>
      <c r="H28" s="77"/>
      <c r="I28" s="77"/>
      <c r="J28" s="77"/>
      <c r="K28" s="77"/>
      <c r="L28" s="77"/>
      <c r="M28" s="77"/>
      <c r="N28" s="77"/>
      <c r="O28" s="77"/>
      <c r="P28" s="77"/>
      <c r="Q28" s="77">
        <v>3.9022273086190777</v>
      </c>
      <c r="R28" s="77">
        <v>896.17880000000002</v>
      </c>
      <c r="S28" s="77">
        <v>0.22549242428464239</v>
      </c>
      <c r="T28" s="77">
        <v>6.6263582647123203</v>
      </c>
      <c r="U28" s="77">
        <f t="shared" si="2"/>
        <v>1108808.3578827889</v>
      </c>
      <c r="V28" s="77">
        <v>93.348127171980053</v>
      </c>
      <c r="W28" s="77"/>
      <c r="X28" s="77"/>
      <c r="Y28" s="77"/>
      <c r="Z28" s="77"/>
      <c r="AA28" s="77"/>
      <c r="AB28" s="77"/>
      <c r="AC28" s="77"/>
      <c r="AD28" s="77"/>
      <c r="AL28" s="76">
        <v>9.6983463886993135</v>
      </c>
      <c r="AM28" s="76">
        <v>1403.0568704330824</v>
      </c>
      <c r="AN28" s="76">
        <v>0.11451102966251633</v>
      </c>
      <c r="AO28" s="76">
        <v>26.188630704685171</v>
      </c>
      <c r="AP28" s="76">
        <f t="shared" si="4"/>
        <v>2187204.3401034744</v>
      </c>
      <c r="AQ28" s="76">
        <v>27.869564197982726</v>
      </c>
    </row>
    <row r="29" spans="1:43" s="76" customFormat="1" x14ac:dyDescent="0.25">
      <c r="A29" s="76" t="s">
        <v>75</v>
      </c>
      <c r="B29" s="77"/>
      <c r="C29" s="77"/>
      <c r="D29" s="77"/>
      <c r="E29" s="77"/>
      <c r="F29" s="77"/>
      <c r="G29" s="77"/>
      <c r="H29" s="77"/>
      <c r="I29" s="77"/>
      <c r="J29" s="77"/>
      <c r="K29" s="77"/>
      <c r="L29" s="77"/>
      <c r="M29" s="77"/>
      <c r="N29" s="77"/>
      <c r="O29" s="77"/>
      <c r="P29" s="77"/>
      <c r="Q29" s="77">
        <v>3.89678052038848</v>
      </c>
      <c r="R29" s="77">
        <v>894.92790000000002</v>
      </c>
      <c r="S29" s="77">
        <v>0.22736434294732227</v>
      </c>
      <c r="T29" s="77">
        <v>6.6627278915856749</v>
      </c>
      <c r="U29" s="77">
        <f t="shared" si="2"/>
        <v>1107260.6663117814</v>
      </c>
      <c r="V29" s="77">
        <v>94.286402197324648</v>
      </c>
      <c r="W29" s="77"/>
      <c r="X29" s="77"/>
      <c r="Y29" s="77"/>
      <c r="Z29" s="77"/>
      <c r="AA29" s="77"/>
      <c r="AB29" s="77"/>
      <c r="AC29" s="77"/>
      <c r="AD29" s="77"/>
    </row>
    <row r="30" spans="1:43" x14ac:dyDescent="0.25">
      <c r="A30" t="s">
        <v>76</v>
      </c>
      <c r="B30" s="8"/>
      <c r="C30" s="8"/>
      <c r="D30" s="8"/>
      <c r="E30" s="8"/>
      <c r="F30" s="8"/>
      <c r="G30" s="8"/>
      <c r="H30" s="8"/>
      <c r="I30" s="8"/>
      <c r="J30" s="8">
        <v>1.2537128768929751</v>
      </c>
      <c r="K30" s="8">
        <v>181.37426680539764</v>
      </c>
      <c r="L30" s="8">
        <v>0.15646514612461698</v>
      </c>
      <c r="M30" s="8">
        <v>0.59797616281966104</v>
      </c>
      <c r="N30" s="8">
        <f t="shared" si="1"/>
        <v>282741.62786958221</v>
      </c>
      <c r="O30" s="8">
        <v>45.567291237695855</v>
      </c>
      <c r="P30" s="8"/>
      <c r="Q30" s="8">
        <v>1.197951163105951</v>
      </c>
      <c r="R30" s="8">
        <v>275.11939999999998</v>
      </c>
      <c r="S30" s="8">
        <v>0.48648329384555594</v>
      </c>
      <c r="T30" s="8">
        <v>1.347299</v>
      </c>
      <c r="U30" s="8">
        <f t="shared" si="2"/>
        <v>340394.89679481153</v>
      </c>
      <c r="V30" s="8">
        <v>202.38754990941118</v>
      </c>
      <c r="W30" s="8"/>
      <c r="X30" s="8"/>
      <c r="Y30" s="8"/>
      <c r="Z30" s="8"/>
      <c r="AA30" s="8"/>
      <c r="AB30" s="8"/>
      <c r="AC30" s="8"/>
      <c r="AD30" s="8"/>
      <c r="AE30">
        <f>'DN300 PN10_Center III'!AF12</f>
        <v>0.3921761984483601</v>
      </c>
      <c r="AF30">
        <f>'DN300 PN10_Center III'!AG12</f>
        <v>90.066509999999994</v>
      </c>
      <c r="AG30">
        <f>'DN300 PN10_Center III'!AL12</f>
        <v>7.2557031304714146</v>
      </c>
      <c r="AH30">
        <f>'DN300 PN10_Center III'!AI12</f>
        <v>2.1535739999999999</v>
      </c>
      <c r="AI30">
        <f t="shared" si="3"/>
        <v>111435.90883128876</v>
      </c>
      <c r="AJ30">
        <f>'DN300 PN10_Center III'!AM12</f>
        <v>687.73993048560692</v>
      </c>
      <c r="AL30">
        <v>0.67085921273010141</v>
      </c>
      <c r="AM30">
        <v>97.053001593247188</v>
      </c>
      <c r="AN30">
        <v>1.9483252752703273</v>
      </c>
      <c r="AO30">
        <v>2.1320350000000001</v>
      </c>
      <c r="AP30">
        <f t="shared" si="4"/>
        <v>151294.47050802485</v>
      </c>
      <c r="AQ30">
        <v>366.84536202579113</v>
      </c>
    </row>
    <row r="31" spans="1:43" x14ac:dyDescent="0.25">
      <c r="A31" t="s">
        <v>76</v>
      </c>
      <c r="B31" s="8"/>
      <c r="C31" s="8"/>
      <c r="D31" s="8"/>
      <c r="E31" s="8"/>
      <c r="F31" s="8"/>
      <c r="G31" s="8"/>
      <c r="H31" s="8"/>
      <c r="I31" s="8"/>
      <c r="J31" s="8">
        <v>1.7164370998879286</v>
      </c>
      <c r="K31" s="8">
        <v>248.31644170496318</v>
      </c>
      <c r="L31" s="8">
        <v>0.14484216183638376</v>
      </c>
      <c r="M31" s="8">
        <v>1.0375782829515923</v>
      </c>
      <c r="N31" s="8">
        <f t="shared" si="1"/>
        <v>387096.78164970031</v>
      </c>
      <c r="O31" s="8">
        <v>40.636355514499023</v>
      </c>
      <c r="P31" s="8"/>
      <c r="Q31" s="8">
        <v>1.198965713955523</v>
      </c>
      <c r="R31" s="8">
        <v>275.35239999999999</v>
      </c>
      <c r="S31" s="8">
        <v>0.66809435328070632</v>
      </c>
      <c r="T31" s="8">
        <v>1.8533999999999999</v>
      </c>
      <c r="U31" s="8">
        <f t="shared" si="2"/>
        <v>340683.17894050252</v>
      </c>
      <c r="V31" s="8">
        <v>257.82724264608072</v>
      </c>
      <c r="W31" s="8"/>
      <c r="X31" s="8"/>
      <c r="Y31" s="8"/>
      <c r="Z31" s="8"/>
      <c r="AA31" s="8"/>
      <c r="AB31" s="8"/>
      <c r="AC31" s="8"/>
      <c r="AD31" s="8"/>
      <c r="AE31">
        <f>'DN300 PN10_Center III'!AF13</f>
        <v>0.3921761984483601</v>
      </c>
      <c r="AF31">
        <f>'DN300 PN10_Center III'!AG13</f>
        <v>90.066509999999994</v>
      </c>
      <c r="AG31">
        <f>'DN300 PN10_Center III'!AL13</f>
        <v>7.2557031304714146</v>
      </c>
      <c r="AH31">
        <f>'DN300 PN10_Center III'!AI13</f>
        <v>2.1535739999999999</v>
      </c>
      <c r="AI31">
        <f t="shared" si="3"/>
        <v>111435.90883128876</v>
      </c>
      <c r="AJ31">
        <f>'DN300 PN10_Center III'!AM13</f>
        <v>687.73993048560692</v>
      </c>
      <c r="AL31">
        <v>1.2204779881407282</v>
      </c>
      <c r="AM31">
        <v>176.56618539305978</v>
      </c>
      <c r="AN31">
        <v>0.7513690343974373</v>
      </c>
      <c r="AO31">
        <v>2.7213430000000001</v>
      </c>
      <c r="AP31">
        <f t="shared" si="4"/>
        <v>275246.38177211635</v>
      </c>
      <c r="AQ31">
        <v>221.75339460706141</v>
      </c>
    </row>
    <row r="32" spans="1:43" x14ac:dyDescent="0.25">
      <c r="A32" t="s">
        <v>76</v>
      </c>
      <c r="B32" s="8"/>
      <c r="C32" s="8"/>
      <c r="D32" s="8"/>
      <c r="E32" s="8"/>
      <c r="F32" s="8"/>
      <c r="G32" s="8"/>
      <c r="H32" s="8"/>
      <c r="I32" s="8"/>
      <c r="J32" s="8">
        <v>2.0751540451164177</v>
      </c>
      <c r="K32" s="8">
        <v>300.21191484768923</v>
      </c>
      <c r="L32" s="8">
        <v>0.15048552783440766</v>
      </c>
      <c r="M32" s="8">
        <v>1.5756708744755037</v>
      </c>
      <c r="N32" s="8">
        <f t="shared" si="1"/>
        <v>467995.85743303457</v>
      </c>
      <c r="O32" s="8">
        <v>43.031273234788586</v>
      </c>
      <c r="P32" s="8"/>
      <c r="Q32" s="8">
        <v>1.5587824864846282</v>
      </c>
      <c r="R32" s="8">
        <v>357.9873</v>
      </c>
      <c r="S32" s="8">
        <v>0.50693447505639588</v>
      </c>
      <c r="T32" s="8">
        <v>2.3770630000000001</v>
      </c>
      <c r="U32" s="8">
        <f t="shared" si="2"/>
        <v>442924.23594029818</v>
      </c>
      <c r="V32" s="8">
        <v>209.31135816553038</v>
      </c>
      <c r="W32" s="8"/>
      <c r="X32" s="8"/>
      <c r="Y32" s="8"/>
      <c r="Z32" s="8"/>
      <c r="AA32" s="8"/>
      <c r="AB32" s="8"/>
      <c r="AC32" s="8"/>
      <c r="AD32" s="8"/>
      <c r="AL32">
        <v>1.8961813367467197</v>
      </c>
      <c r="AM32">
        <v>274.31998667416906</v>
      </c>
      <c r="AN32">
        <v>0.39760967189405177</v>
      </c>
      <c r="AO32">
        <v>3.4760559999999998</v>
      </c>
      <c r="AP32">
        <f t="shared" si="4"/>
        <v>427633.31841685745</v>
      </c>
      <c r="AQ32">
        <v>134.81931599292079</v>
      </c>
    </row>
    <row r="33" spans="1:43" x14ac:dyDescent="0.25">
      <c r="A33" t="s">
        <v>76</v>
      </c>
      <c r="B33" s="8"/>
      <c r="C33" s="8"/>
      <c r="D33" s="8"/>
      <c r="E33" s="8"/>
      <c r="F33" s="8"/>
      <c r="G33" s="8"/>
      <c r="H33" s="8"/>
      <c r="I33" s="8"/>
      <c r="J33" s="8">
        <v>3.0676795516560245</v>
      </c>
      <c r="K33" s="8">
        <v>443.8002829279547</v>
      </c>
      <c r="L33" s="8">
        <v>0.1460332491363788</v>
      </c>
      <c r="M33" s="8">
        <v>3.3415027268633404</v>
      </c>
      <c r="N33" s="8">
        <f t="shared" si="1"/>
        <v>691833.6137433626</v>
      </c>
      <c r="O33" s="8">
        <v>41.141819490810157</v>
      </c>
      <c r="P33" s="8"/>
      <c r="Q33" s="8">
        <v>1.5594351953788379</v>
      </c>
      <c r="R33" s="8">
        <v>358.13720000000001</v>
      </c>
      <c r="S33" s="8">
        <v>0.50420252226847107</v>
      </c>
      <c r="T33" s="8">
        <v>2.3662329999999998</v>
      </c>
      <c r="U33" s="8">
        <f t="shared" si="2"/>
        <v>443109.70157823409</v>
      </c>
      <c r="V33" s="8">
        <v>208.3976573331696</v>
      </c>
      <c r="W33" s="8"/>
      <c r="X33" s="8"/>
      <c r="Y33" s="8"/>
      <c r="Z33" s="8"/>
      <c r="AA33" s="8"/>
      <c r="AB33" s="8"/>
      <c r="AC33" s="8"/>
      <c r="AD33" s="8"/>
      <c r="AL33">
        <v>2.4976969434454674</v>
      </c>
      <c r="AM33">
        <v>361.34106952957211</v>
      </c>
      <c r="AN33">
        <v>0.30461839907119892</v>
      </c>
      <c r="AO33">
        <v>4.6206779999999998</v>
      </c>
      <c r="AP33">
        <f t="shared" si="4"/>
        <v>563289.18106417218</v>
      </c>
      <c r="AQ33">
        <v>103.93694869117714</v>
      </c>
    </row>
    <row r="34" spans="1:43" x14ac:dyDescent="0.25">
      <c r="A34" t="s">
        <v>76</v>
      </c>
      <c r="B34" s="8"/>
      <c r="C34" s="8"/>
      <c r="D34" s="8"/>
      <c r="E34" s="8"/>
      <c r="F34" s="8"/>
      <c r="G34" s="8"/>
      <c r="H34" s="8"/>
      <c r="I34" s="8"/>
      <c r="J34" s="8">
        <v>4.7563514204213275</v>
      </c>
      <c r="K34" s="8">
        <v>688.09993695340643</v>
      </c>
      <c r="L34" s="8">
        <v>0.13568631559962382</v>
      </c>
      <c r="M34" s="8">
        <v>7.463697137594127</v>
      </c>
      <c r="N34" s="8">
        <f t="shared" si="1"/>
        <v>1072668.6852435735</v>
      </c>
      <c r="O34" s="8">
        <v>36.75468094940635</v>
      </c>
      <c r="P34" s="8"/>
      <c r="Q34" s="8">
        <v>2.3748157794341282</v>
      </c>
      <c r="R34" s="8">
        <v>545.39610000000005</v>
      </c>
      <c r="S34" s="8">
        <v>0.37506725486271075</v>
      </c>
      <c r="T34" s="8">
        <v>4.0821300000000003</v>
      </c>
      <c r="U34" s="8">
        <f t="shared" si="2"/>
        <v>674798.10283023585</v>
      </c>
      <c r="V34" s="8">
        <v>160.92488636188389</v>
      </c>
      <c r="W34" s="8"/>
      <c r="X34" s="8"/>
      <c r="Y34" s="8"/>
      <c r="Z34" s="8"/>
      <c r="AA34" s="8"/>
      <c r="AB34" s="8"/>
      <c r="AC34" s="8"/>
      <c r="AD34" s="8"/>
      <c r="AE34">
        <f>'DN300 PN10_Center III'!AF16</f>
        <v>1.1779627696511898</v>
      </c>
      <c r="AF34">
        <f>'DN300 PN10_Center III'!AG16</f>
        <v>270.52890000000002</v>
      </c>
      <c r="AG34">
        <f>'DN300 PN10_Center III'!AL16</f>
        <v>0.88075721820708397</v>
      </c>
      <c r="AH34">
        <f>'DN300 PN10_Center III'!AI16</f>
        <v>2.3585069999999999</v>
      </c>
      <c r="AI34">
        <f t="shared" si="3"/>
        <v>334715.24361972994</v>
      </c>
      <c r="AJ34">
        <f>'DN300 PN10_Center III'!AM16</f>
        <v>309.22454753404872</v>
      </c>
      <c r="AL34">
        <v>3.7305386752617102</v>
      </c>
      <c r="AM34">
        <v>539.69591402109609</v>
      </c>
      <c r="AN34">
        <v>0.25601636730997557</v>
      </c>
      <c r="AO34">
        <v>8.6632513196356786</v>
      </c>
      <c r="AP34">
        <f t="shared" si="4"/>
        <v>841323.87671405659</v>
      </c>
      <c r="AQ34">
        <v>86.003107750822238</v>
      </c>
    </row>
    <row r="35" spans="1:43" x14ac:dyDescent="0.25">
      <c r="A35" t="s">
        <v>76</v>
      </c>
      <c r="B35" s="8"/>
      <c r="C35" s="8"/>
      <c r="D35" s="8"/>
      <c r="E35" s="8"/>
      <c r="F35" s="8"/>
      <c r="G35" s="8"/>
      <c r="H35" s="8"/>
      <c r="I35" s="8"/>
      <c r="J35" s="8"/>
      <c r="K35" s="8"/>
      <c r="L35" s="8"/>
      <c r="M35" s="8"/>
      <c r="N35" s="8"/>
      <c r="O35" s="8"/>
      <c r="P35" s="8"/>
      <c r="Q35" s="8">
        <v>2.3785691821479942</v>
      </c>
      <c r="R35" s="8">
        <v>546.25810000000001</v>
      </c>
      <c r="S35" s="8">
        <v>0.375241750222572</v>
      </c>
      <c r="T35" s="8">
        <v>4.0969490000000004</v>
      </c>
      <c r="U35" s="8">
        <f t="shared" si="2"/>
        <v>675864.62304304924</v>
      </c>
      <c r="V35" s="8">
        <v>160.99524906077627</v>
      </c>
      <c r="W35" s="8"/>
      <c r="X35" s="8"/>
      <c r="Y35" s="8"/>
      <c r="Z35" s="8"/>
      <c r="AA35" s="8"/>
      <c r="AB35" s="8"/>
      <c r="AC35" s="8"/>
      <c r="AD35" s="8"/>
      <c r="AE35">
        <f>'DN300 PN10_Center III'!AF17</f>
        <v>1.1779627696511898</v>
      </c>
      <c r="AF35">
        <f>'DN300 PN10_Center III'!AG17</f>
        <v>270.52890000000002</v>
      </c>
      <c r="AG35">
        <f>'DN300 PN10_Center III'!AL17</f>
        <v>0.88075721820708397</v>
      </c>
      <c r="AH35">
        <f>'DN300 PN10_Center III'!AI17</f>
        <v>2.3585069999999999</v>
      </c>
      <c r="AI35">
        <f t="shared" si="3"/>
        <v>334715.24361972994</v>
      </c>
      <c r="AJ35">
        <f>'DN300 PN10_Center III'!AM17</f>
        <v>309.22454753404872</v>
      </c>
      <c r="AL35">
        <v>4.8210519764813888</v>
      </c>
      <c r="AM35">
        <v>697.46014704104425</v>
      </c>
      <c r="AN35">
        <v>0.221672128443135</v>
      </c>
      <c r="AO35">
        <v>12.527511428214694</v>
      </c>
      <c r="AP35">
        <f t="shared" si="4"/>
        <v>1087260.1765504389</v>
      </c>
      <c r="AQ35">
        <v>72.56361656415821</v>
      </c>
    </row>
    <row r="36" spans="1:43" x14ac:dyDescent="0.25">
      <c r="A36" t="s">
        <v>76</v>
      </c>
      <c r="B36" s="8"/>
      <c r="C36" s="8"/>
      <c r="D36" s="8"/>
      <c r="E36" s="8"/>
      <c r="F36" s="8"/>
      <c r="G36" s="8"/>
      <c r="H36" s="8"/>
      <c r="I36" s="8"/>
      <c r="J36" s="8"/>
      <c r="K36" s="8"/>
      <c r="L36" s="8"/>
      <c r="M36" s="8"/>
      <c r="N36" s="8"/>
      <c r="O36" s="8"/>
      <c r="P36" s="8"/>
      <c r="Q36" s="8">
        <v>3.0397232324636976</v>
      </c>
      <c r="R36" s="8">
        <v>698.09760000000006</v>
      </c>
      <c r="S36" s="8">
        <v>0.27014843235872393</v>
      </c>
      <c r="T36" s="8">
        <v>4.8171299999999997</v>
      </c>
      <c r="U36" s="8">
        <f t="shared" si="2"/>
        <v>863729.93145778053</v>
      </c>
      <c r="V36" s="8">
        <v>115.09607795884449</v>
      </c>
      <c r="W36" s="8"/>
      <c r="X36" s="8"/>
      <c r="Y36" s="8"/>
      <c r="Z36" s="8"/>
      <c r="AA36" s="8"/>
      <c r="AB36" s="8"/>
      <c r="AC36" s="8"/>
      <c r="AD36" s="8"/>
      <c r="AL36">
        <v>6.2564382526202769</v>
      </c>
      <c r="AM36">
        <v>905.11705016101223</v>
      </c>
      <c r="AN36">
        <v>0.20095501506303237</v>
      </c>
      <c r="AO36">
        <v>19.12596088554373</v>
      </c>
      <c r="AP36">
        <f t="shared" si="4"/>
        <v>1410973.4125051908</v>
      </c>
      <c r="AQ36">
        <v>64.168245114571661</v>
      </c>
    </row>
    <row r="37" spans="1:43" x14ac:dyDescent="0.25">
      <c r="A37" t="s">
        <v>76</v>
      </c>
      <c r="B37" s="8"/>
      <c r="C37" s="8"/>
      <c r="D37" s="8"/>
      <c r="E37" s="8"/>
      <c r="F37" s="8"/>
      <c r="G37" s="8"/>
      <c r="H37" s="8"/>
      <c r="I37" s="8"/>
      <c r="J37" s="8"/>
      <c r="K37" s="8"/>
      <c r="L37" s="8"/>
      <c r="M37" s="8"/>
      <c r="N37" s="8"/>
      <c r="O37" s="8"/>
      <c r="P37" s="8"/>
      <c r="Q37" s="8">
        <v>3.0207219577969102</v>
      </c>
      <c r="R37" s="8">
        <v>693.73379999999997</v>
      </c>
      <c r="S37" s="8">
        <v>0.27589926072330745</v>
      </c>
      <c r="T37" s="8">
        <v>4.8583619999999996</v>
      </c>
      <c r="U37" s="8">
        <f t="shared" si="2"/>
        <v>858330.76567509421</v>
      </c>
      <c r="V37" s="8">
        <v>117.79832409224808</v>
      </c>
      <c r="W37" s="8"/>
      <c r="X37" s="8"/>
      <c r="Y37" s="8"/>
      <c r="Z37" s="8"/>
      <c r="AA37" s="8"/>
      <c r="AB37" s="8"/>
      <c r="AC37" s="8"/>
      <c r="AD37" s="8"/>
      <c r="AL37">
        <v>8.3293308833049373</v>
      </c>
      <c r="AM37">
        <v>1205.0018068594452</v>
      </c>
      <c r="AN37">
        <v>0.18314747758085548</v>
      </c>
      <c r="AO37">
        <v>30.895217730012416</v>
      </c>
      <c r="AP37">
        <f t="shared" si="4"/>
        <v>1878459.267999578</v>
      </c>
      <c r="AQ37">
        <v>56.800682025405948</v>
      </c>
    </row>
    <row r="38" spans="1:43" x14ac:dyDescent="0.25">
      <c r="A38" t="s">
        <v>76</v>
      </c>
      <c r="B38" s="8"/>
      <c r="C38" s="8"/>
      <c r="D38" s="8"/>
      <c r="E38" s="8"/>
      <c r="F38" s="8"/>
      <c r="G38" s="8"/>
      <c r="H38" s="8"/>
      <c r="I38" s="8"/>
      <c r="J38" s="8"/>
      <c r="K38" s="8"/>
      <c r="L38" s="8"/>
      <c r="M38" s="8"/>
      <c r="N38" s="8"/>
      <c r="O38" s="8"/>
      <c r="P38" s="8"/>
      <c r="Q38" s="8">
        <v>3.9023213614016985</v>
      </c>
      <c r="R38" s="8">
        <v>896.20039999999995</v>
      </c>
      <c r="S38" s="8">
        <v>0.2760024598907817</v>
      </c>
      <c r="T38" s="8">
        <v>8.1110456332714644</v>
      </c>
      <c r="U38" s="8">
        <f t="shared" si="2"/>
        <v>1108835.0827512303</v>
      </c>
      <c r="V38" s="8">
        <v>117.84660910788827</v>
      </c>
      <c r="W38" s="8"/>
      <c r="X38" s="8"/>
      <c r="Y38" s="8"/>
      <c r="Z38" s="8"/>
      <c r="AA38" s="8"/>
      <c r="AB38" s="8"/>
      <c r="AC38" s="8"/>
      <c r="AD38" s="8"/>
      <c r="AE38">
        <f>'DN300 PN10_Center III'!AF20</f>
        <v>2.3629864648717596</v>
      </c>
      <c r="AF38">
        <f>'DN300 PN10_Center III'!AG20</f>
        <v>542.67939999999999</v>
      </c>
      <c r="AG38">
        <f>'DN300 PN10_Center III'!AL20</f>
        <v>0.27733008001642623</v>
      </c>
      <c r="AH38">
        <f>'DN300 PN10_Center III'!AI20</f>
        <v>2.9883899999999999</v>
      </c>
      <c r="AI38">
        <f t="shared" si="3"/>
        <v>671436.83199247415</v>
      </c>
      <c r="AJ38">
        <f>'DN300 PN10_Center III'!AM20</f>
        <v>118.46712761453206</v>
      </c>
      <c r="AL38">
        <v>9.6994729570249785</v>
      </c>
      <c r="AM38">
        <v>1403.2198507357016</v>
      </c>
      <c r="AN38">
        <v>0.17675960523326739</v>
      </c>
      <c r="AO38">
        <v>40.434249344840929</v>
      </c>
      <c r="AP38">
        <f t="shared" si="4"/>
        <v>2187458.4076560815</v>
      </c>
      <c r="AQ38">
        <v>54.128964821534694</v>
      </c>
    </row>
    <row r="39" spans="1:43" x14ac:dyDescent="0.25">
      <c r="A39" t="s">
        <v>76</v>
      </c>
      <c r="B39" s="8"/>
      <c r="C39" s="8"/>
      <c r="D39" s="8"/>
      <c r="E39" s="8"/>
      <c r="F39" s="8"/>
      <c r="G39" s="8"/>
      <c r="H39" s="8"/>
      <c r="I39" s="8"/>
      <c r="J39" s="8"/>
      <c r="K39" s="8"/>
      <c r="L39" s="8"/>
      <c r="M39" s="8"/>
      <c r="N39" s="8"/>
      <c r="O39" s="8"/>
      <c r="P39" s="8"/>
      <c r="Q39" s="8">
        <v>3.9048333544708749</v>
      </c>
      <c r="R39" s="8">
        <v>896.77729999999997</v>
      </c>
      <c r="S39" s="8">
        <v>0.274035196273202</v>
      </c>
      <c r="T39" s="8">
        <v>8.063603859895391</v>
      </c>
      <c r="U39" s="8">
        <f t="shared" si="2"/>
        <v>1109548.8594458618</v>
      </c>
      <c r="V39" s="8">
        <v>116.92490554972565</v>
      </c>
      <c r="W39" s="8"/>
      <c r="X39" s="8"/>
      <c r="Y39" s="8"/>
      <c r="Z39" s="8"/>
      <c r="AA39" s="8"/>
      <c r="AB39" s="8"/>
      <c r="AC39" s="8"/>
      <c r="AD39" s="8"/>
      <c r="AE39">
        <f>'DN300 PN10_Center III'!AF21</f>
        <v>2.3629864648717596</v>
      </c>
      <c r="AF39">
        <f>'DN300 PN10_Center III'!AG21</f>
        <v>542.67939999999999</v>
      </c>
      <c r="AG39">
        <f>'DN300 PN10_Center III'!AL21</f>
        <v>0.27733008001642623</v>
      </c>
      <c r="AH39">
        <f>'DN300 PN10_Center III'!AI21</f>
        <v>2.9883899999999999</v>
      </c>
      <c r="AI39">
        <f t="shared" si="3"/>
        <v>671436.83199247415</v>
      </c>
      <c r="AJ39">
        <f>'DN300 PN10_Center III'!AM21</f>
        <v>118.46712761453206</v>
      </c>
    </row>
    <row r="40" spans="1:43" x14ac:dyDescent="0.25">
      <c r="A40" t="s">
        <v>76</v>
      </c>
      <c r="B40" s="8"/>
      <c r="C40" s="8"/>
      <c r="D40" s="8"/>
      <c r="E40" s="8"/>
      <c r="F40" s="8"/>
      <c r="G40" s="8"/>
      <c r="H40" s="8"/>
      <c r="I40" s="8"/>
      <c r="J40" s="8"/>
      <c r="K40" s="8"/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8"/>
      <c r="X40" s="8"/>
      <c r="Y40" s="8"/>
      <c r="Z40" s="8"/>
      <c r="AA40" s="8"/>
      <c r="AB40" s="8"/>
      <c r="AC40" s="8"/>
      <c r="AD40" s="8"/>
      <c r="AE40">
        <f>'DN300 PN10_Center III'!AF22</f>
        <v>3.0907416418811353</v>
      </c>
      <c r="AF40">
        <f>'DN300 PN10_Center III'!AG22</f>
        <v>709.81439999999998</v>
      </c>
      <c r="AG40">
        <f>'DN300 PN10_Center III'!AL22</f>
        <v>0.19419827615825305</v>
      </c>
      <c r="AH40">
        <f>'DN300 PN10_Center III'!AI22</f>
        <v>3.5800459999999998</v>
      </c>
      <c r="AI40">
        <f t="shared" si="3"/>
        <v>878226.6878725061</v>
      </c>
      <c r="AJ40">
        <f>'DN300 PN10_Center III'!AM22</f>
        <v>77.345441630456747</v>
      </c>
    </row>
    <row r="41" spans="1:43" x14ac:dyDescent="0.25">
      <c r="A41" t="s">
        <v>76</v>
      </c>
      <c r="B41" s="8"/>
      <c r="C41" s="8"/>
      <c r="D41" s="8"/>
      <c r="E41" s="8"/>
      <c r="F41" s="8"/>
      <c r="G41" s="8"/>
      <c r="H41" s="8"/>
      <c r="I41" s="8"/>
      <c r="J41" s="8"/>
      <c r="K41" s="8"/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8"/>
      <c r="X41" s="8"/>
      <c r="Y41" s="8"/>
      <c r="Z41" s="8"/>
      <c r="AA41" s="8"/>
      <c r="AB41" s="8"/>
      <c r="AC41" s="8"/>
      <c r="AD41" s="8"/>
      <c r="AE41">
        <f>'DN300 PN10_Center III'!AF23</f>
        <v>3.0907416418811353</v>
      </c>
      <c r="AF41">
        <f>'DN300 PN10_Center III'!AG23</f>
        <v>709.81439999999998</v>
      </c>
      <c r="AG41">
        <f>'DN300 PN10_Center III'!AL23</f>
        <v>0.19419827615825305</v>
      </c>
      <c r="AH41">
        <f>'DN300 PN10_Center III'!AI23</f>
        <v>3.5800459999999998</v>
      </c>
      <c r="AI41">
        <f t="shared" si="3"/>
        <v>878226.6878725061</v>
      </c>
      <c r="AJ41">
        <f>'DN300 PN10_Center III'!AM23</f>
        <v>77.345441630456747</v>
      </c>
    </row>
    <row r="42" spans="1:43" x14ac:dyDescent="0.25">
      <c r="A42" t="s">
        <v>76</v>
      </c>
      <c r="B42" s="8"/>
      <c r="C42" s="8"/>
      <c r="D42" s="8"/>
      <c r="E42" s="8"/>
      <c r="F42" s="8"/>
      <c r="G42" s="8"/>
      <c r="H42" s="8"/>
      <c r="I42" s="8"/>
      <c r="J42" s="8"/>
      <c r="K42" s="8"/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8"/>
      <c r="X42" s="8"/>
      <c r="Y42" s="8"/>
      <c r="Z42" s="8"/>
      <c r="AA42" s="8"/>
      <c r="AB42" s="8"/>
      <c r="AC42" s="8"/>
      <c r="AD42" s="8"/>
      <c r="AE42">
        <f>'DN300 PN10_Center III'!AF24</f>
        <v>3.9170623933593829</v>
      </c>
      <c r="AF42">
        <f>'DN300 PN10_Center III'!AG24</f>
        <v>899.58579999999995</v>
      </c>
      <c r="AG42">
        <f>'DN300 PN10_Center III'!AL24</f>
        <v>0.14826396316514565</v>
      </c>
      <c r="AH42">
        <f>'DN300 PN10_Center III'!AI24</f>
        <v>4.3901000000000003</v>
      </c>
      <c r="AI42">
        <f t="shared" si="3"/>
        <v>1113023.7109745007</v>
      </c>
      <c r="AJ42">
        <f>'DN300 PN10_Center III'!AM24</f>
        <v>53.029305974555704</v>
      </c>
    </row>
    <row r="43" spans="1:43" x14ac:dyDescent="0.25">
      <c r="A43" t="s">
        <v>76</v>
      </c>
      <c r="B43" s="8"/>
      <c r="C43" s="8"/>
      <c r="D43" s="8"/>
      <c r="E43" s="8"/>
      <c r="F43" s="8"/>
      <c r="G43" s="8"/>
      <c r="H43" s="8"/>
      <c r="I43" s="8"/>
      <c r="J43" s="8"/>
      <c r="K43" s="8"/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8"/>
      <c r="X43" s="8"/>
      <c r="Y43" s="8"/>
      <c r="Z43" s="8"/>
      <c r="AA43" s="8"/>
      <c r="AB43" s="8"/>
      <c r="AC43" s="8"/>
      <c r="AD43" s="8"/>
      <c r="AE43">
        <f>'DN300 PN10_Center III'!AF25</f>
        <v>3.9170623933593829</v>
      </c>
      <c r="AF43">
        <f>'DN300 PN10_Center III'!AG25</f>
        <v>899.58579999999995</v>
      </c>
      <c r="AG43">
        <f>'DN300 PN10_Center III'!AL25</f>
        <v>0.14826396316514565</v>
      </c>
      <c r="AH43">
        <f>'DN300 PN10_Center III'!AI25</f>
        <v>4.3901000000000003</v>
      </c>
      <c r="AI43">
        <f t="shared" si="3"/>
        <v>1113023.7109745007</v>
      </c>
      <c r="AJ43">
        <f>'DN300 PN10_Center III'!AM25</f>
        <v>53.029305974555704</v>
      </c>
    </row>
    <row r="44" spans="1:43" x14ac:dyDescent="0.25">
      <c r="A44" t="s">
        <v>76</v>
      </c>
      <c r="B44" s="8"/>
      <c r="C44" s="8"/>
      <c r="D44" s="8"/>
      <c r="E44" s="8"/>
      <c r="F44" s="8"/>
      <c r="G44" s="8"/>
      <c r="H44" s="8"/>
      <c r="I44" s="8"/>
      <c r="J44" s="8"/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8"/>
      <c r="X44" s="8"/>
      <c r="Y44" s="8"/>
      <c r="Z44" s="8"/>
      <c r="AA44" s="8"/>
      <c r="AB44" s="8"/>
      <c r="AC44" s="8"/>
      <c r="AD44" s="8"/>
      <c r="AE44">
        <f>'DN300 PN10_Center III'!AF26</f>
        <v>5.2218322626092224</v>
      </c>
      <c r="AF44">
        <f>'DN300 PN10_Center III'!AG26</f>
        <v>1199.2370000000001</v>
      </c>
      <c r="AG44">
        <f>'DN300 PN10_Center III'!AL26</f>
        <v>0.13787953188654833</v>
      </c>
      <c r="AH44">
        <f>'DN300 PN10_Center III'!AI26</f>
        <v>7.2554351399470134</v>
      </c>
      <c r="AI44">
        <f t="shared" si="3"/>
        <v>1483770.8821970371</v>
      </c>
      <c r="AJ44">
        <f>'DN300 PN10_Center III'!AM26</f>
        <v>47.479262398922458</v>
      </c>
    </row>
    <row r="45" spans="1:43" x14ac:dyDescent="0.25">
      <c r="A45" t="s">
        <v>76</v>
      </c>
      <c r="B45" s="8"/>
      <c r="C45" s="8"/>
      <c r="D45" s="8"/>
      <c r="E45" s="8"/>
      <c r="F45" s="8"/>
      <c r="G45" s="8"/>
      <c r="H45" s="8"/>
      <c r="I45" s="8"/>
      <c r="J45" s="8"/>
      <c r="K45" s="8"/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8"/>
      <c r="X45" s="8"/>
      <c r="Y45" s="8"/>
      <c r="Z45" s="8"/>
      <c r="AA45" s="8"/>
      <c r="AB45" s="8"/>
      <c r="AC45" s="8"/>
      <c r="AD45" s="8"/>
      <c r="AE45">
        <f>'DN300 PN10_Center III'!AF27</f>
        <v>5.6484095290469964</v>
      </c>
      <c r="AF45">
        <f>'DN300 PN10_Center III'!AG27</f>
        <v>1297.204</v>
      </c>
      <c r="AG45">
        <f>'DN300 PN10_Center III'!AL27</f>
        <v>0.13106414109732648</v>
      </c>
      <c r="AH45">
        <f>'DN300 PN10_Center III'!AI27</f>
        <v>8.0696383047071656</v>
      </c>
      <c r="AI45">
        <f t="shared" si="3"/>
        <v>1604981.7704669929</v>
      </c>
      <c r="AJ45">
        <f>'DN300 PN10_Center III'!AM27</f>
        <v>43.846733695264405</v>
      </c>
    </row>
    <row r="46" spans="1:43" x14ac:dyDescent="0.25">
      <c r="A46" t="s">
        <v>76</v>
      </c>
      <c r="B46" s="8"/>
      <c r="C46" s="8"/>
      <c r="D46" s="8"/>
      <c r="E46" s="8"/>
      <c r="F46" s="8"/>
      <c r="G46" s="8"/>
      <c r="H46" s="8"/>
      <c r="I46" s="8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8"/>
      <c r="X46" s="8"/>
      <c r="Y46" s="8"/>
      <c r="Z46" s="8"/>
      <c r="AA46" s="8"/>
      <c r="AB46" s="8"/>
      <c r="AC46" s="8"/>
      <c r="AD46" s="8"/>
      <c r="AE46">
        <f>'DN300 PN10_Center III'!AF28</f>
        <v>6.5320615475465837</v>
      </c>
      <c r="AF46">
        <f>'DN300 PN10_Center III'!AG28</f>
        <v>1500.1420000000001</v>
      </c>
      <c r="AG46">
        <f>'DN300 PN10_Center III'!AL28</f>
        <v>0.1125962646138336</v>
      </c>
      <c r="AH46">
        <f>'DN300 PN10_Center III'!AI28</f>
        <v>9.2713366047920349</v>
      </c>
      <c r="AI46">
        <f t="shared" si="3"/>
        <v>1856069.3330516217</v>
      </c>
      <c r="AJ46">
        <f>'DN300 PN10_Center III'!AM28</f>
        <v>34.117089936585188</v>
      </c>
    </row>
    <row r="47" spans="1:43" x14ac:dyDescent="0.25">
      <c r="A47" t="s">
        <v>76</v>
      </c>
      <c r="B47" s="8"/>
      <c r="C47" s="8"/>
      <c r="D47" s="8"/>
      <c r="E47" s="8"/>
      <c r="F47" s="8"/>
      <c r="G47" s="8"/>
      <c r="H47" s="8"/>
      <c r="I47" s="8"/>
      <c r="J47" s="8"/>
      <c r="K47" s="8"/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8"/>
      <c r="X47" s="8"/>
      <c r="Y47" s="8"/>
      <c r="Z47" s="8"/>
      <c r="AA47" s="8"/>
      <c r="AB47" s="8"/>
      <c r="AC47" s="8"/>
      <c r="AD47" s="8"/>
      <c r="AE47">
        <f>'DN300 PN10_Center III'!AF29</f>
        <v>6.5320615475465837</v>
      </c>
      <c r="AF47">
        <f>'DN300 PN10_Center III'!AG29</f>
        <v>1500.1420000000001</v>
      </c>
      <c r="AG47">
        <f>'DN300 PN10_Center III'!AL29</f>
        <v>0.1125962646138336</v>
      </c>
      <c r="AH47">
        <f>'DN300 PN10_Center III'!AI29</f>
        <v>9.2713366047920349</v>
      </c>
      <c r="AI47">
        <f t="shared" si="3"/>
        <v>1856069.3330516217</v>
      </c>
      <c r="AJ47">
        <f>'DN300 PN10_Center III'!AM29</f>
        <v>34.117089936585188</v>
      </c>
    </row>
    <row r="48" spans="1:43" x14ac:dyDescent="0.25">
      <c r="A48" t="s">
        <v>76</v>
      </c>
      <c r="B48" s="8"/>
      <c r="C48" s="8"/>
      <c r="D48" s="8"/>
      <c r="E48" s="8"/>
      <c r="F48" s="8"/>
      <c r="G48" s="8"/>
      <c r="H48" s="8"/>
      <c r="I48" s="8"/>
      <c r="J48" s="8"/>
      <c r="K48" s="8"/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8"/>
      <c r="X48" s="8"/>
      <c r="Y48" s="8"/>
      <c r="Z48" s="8"/>
      <c r="AA48" s="8"/>
      <c r="AB48" s="8"/>
      <c r="AC48" s="8"/>
      <c r="AD48" s="8"/>
      <c r="AE48">
        <f>'DN300 PN10_Center III'!AF30</f>
        <v>7.4893882457661505</v>
      </c>
      <c r="AF48">
        <f>'DN300 PN10_Center III'!AG30</f>
        <v>1720</v>
      </c>
      <c r="AG48">
        <f>'DN300 PN10_Center III'!AL30</f>
        <v>0.10162069625542612</v>
      </c>
      <c r="AH48">
        <f>'DN300 PN10_Center III'!AI30</f>
        <v>11</v>
      </c>
      <c r="AI48">
        <f t="shared" si="3"/>
        <v>2128091.375915606</v>
      </c>
      <c r="AJ48">
        <f>'DN300 PN10_Center III'!AM30</f>
        <v>28.481759527180468</v>
      </c>
    </row>
    <row r="49" spans="1:43" x14ac:dyDescent="0.25">
      <c r="A49" t="s">
        <v>76</v>
      </c>
      <c r="B49" s="8"/>
      <c r="C49" s="8"/>
      <c r="D49" s="8"/>
      <c r="E49" s="8"/>
      <c r="F49" s="8"/>
      <c r="G49" s="8"/>
      <c r="H49" s="8"/>
      <c r="I49" s="8"/>
      <c r="J49" s="8"/>
      <c r="K49" s="8"/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8"/>
      <c r="X49" s="8"/>
      <c r="Y49" s="8"/>
      <c r="Z49" s="8"/>
      <c r="AA49" s="8"/>
      <c r="AB49" s="8"/>
      <c r="AC49" s="8"/>
      <c r="AD49" s="8"/>
      <c r="AE49">
        <f>'DN300 PN10_Center III'!AF31</f>
        <v>7.4676167683075274</v>
      </c>
      <c r="AF49">
        <f>'DN300 PN10_Center III'!AG31</f>
        <v>1715</v>
      </c>
      <c r="AG49">
        <f>'DN300 PN10_Center III'!AL31</f>
        <v>0.10174949097222097</v>
      </c>
      <c r="AH49">
        <f>'DN300 PN10_Center III'!AI31</f>
        <v>10.95</v>
      </c>
      <c r="AI49">
        <f t="shared" si="3"/>
        <v>2121905.0637763161</v>
      </c>
      <c r="AJ49">
        <f>'DN300 PN10_Center III'!AM31</f>
        <v>28.546957085108421</v>
      </c>
    </row>
    <row r="50" spans="1:43" s="76" customFormat="1" x14ac:dyDescent="0.25">
      <c r="A50" s="79" t="s">
        <v>77</v>
      </c>
      <c r="B50" s="77">
        <v>2.5562031604978803</v>
      </c>
      <c r="C50" s="77">
        <v>209.85867691862967</v>
      </c>
      <c r="D50" s="77">
        <v>7.3767724807005705E-2</v>
      </c>
      <c r="E50" s="77">
        <v>1.555787303179754</v>
      </c>
      <c r="F50" s="77">
        <f t="shared" si="0"/>
        <v>434274.19596095593</v>
      </c>
      <c r="G50" s="77">
        <v>9.0803390082495987</v>
      </c>
      <c r="H50" s="77"/>
      <c r="I50" s="77"/>
      <c r="J50" s="77">
        <v>0.61739921696188527</v>
      </c>
      <c r="K50" s="77">
        <v>89.318960000000004</v>
      </c>
      <c r="L50" s="77">
        <v>0.51763529095318384</v>
      </c>
      <c r="M50" s="77">
        <v>0.47976229712211366</v>
      </c>
      <c r="N50" s="77">
        <f t="shared" si="1"/>
        <v>139237.9889100483</v>
      </c>
      <c r="O50" s="77">
        <v>168.9417987285851</v>
      </c>
      <c r="P50" s="77"/>
      <c r="Q50" s="77">
        <v>1.1878957885269117</v>
      </c>
      <c r="R50" s="77">
        <v>272.81009999999998</v>
      </c>
      <c r="S50" s="77">
        <v>0.33175034893842964</v>
      </c>
      <c r="T50" s="77">
        <v>0.90341210000000005</v>
      </c>
      <c r="U50" s="77">
        <f t="shared" si="2"/>
        <v>337537.6866701594</v>
      </c>
      <c r="V50" s="77">
        <v>142.87540352131523</v>
      </c>
      <c r="W50" s="77"/>
      <c r="X50" s="77"/>
      <c r="Y50" s="77"/>
      <c r="Z50" s="77"/>
      <c r="AA50" s="77"/>
      <c r="AB50" s="77"/>
      <c r="AC50" s="77"/>
      <c r="AD50" s="77"/>
      <c r="AE50" s="76">
        <f>'DN300 PN10_Center III'!B39</f>
        <v>0</v>
      </c>
      <c r="AF50" s="76">
        <f>'DN300 PN10_Center III'!C39</f>
        <v>0</v>
      </c>
      <c r="AG50" s="76" t="e">
        <f>'DN300 PN10_Center III'!H39</f>
        <v>#DIV/0!</v>
      </c>
      <c r="AH50" s="76">
        <f>'DN300 PN10_Center III'!E39</f>
        <v>0</v>
      </c>
      <c r="AI50" s="76">
        <f t="shared" si="3"/>
        <v>0</v>
      </c>
      <c r="AJ50" s="76" t="e">
        <f>'DN300 PN10_Center III'!I39</f>
        <v>#DIV/0!</v>
      </c>
      <c r="AL50" s="76">
        <v>0.62138118174973778</v>
      </c>
      <c r="AM50" s="76">
        <v>89.89502965450616</v>
      </c>
      <c r="AN50" s="76">
        <v>2.4116544285966057</v>
      </c>
      <c r="AO50" s="76">
        <v>2.2641300000000002</v>
      </c>
      <c r="AP50" s="76">
        <f t="shared" si="4"/>
        <v>140136.0152659927</v>
      </c>
      <c r="AQ50" s="76">
        <v>398.77369780340075</v>
      </c>
    </row>
    <row r="51" spans="1:43" s="76" customFormat="1" x14ac:dyDescent="0.25">
      <c r="A51" s="79" t="s">
        <v>77</v>
      </c>
      <c r="B51" s="77">
        <v>4.8903132535256173</v>
      </c>
      <c r="C51" s="77">
        <v>401.48399977043852</v>
      </c>
      <c r="D51" s="77">
        <v>4.7555446875529296E-2</v>
      </c>
      <c r="E51" s="77">
        <v>3.670850726119538</v>
      </c>
      <c r="F51" s="77">
        <f t="shared" si="0"/>
        <v>830816.92761791148</v>
      </c>
      <c r="G51" s="77">
        <v>3.2038295012640634</v>
      </c>
      <c r="H51" s="77"/>
      <c r="I51" s="77"/>
      <c r="J51" s="77">
        <v>0.61967357018271285</v>
      </c>
      <c r="K51" s="77">
        <v>89.647989999999993</v>
      </c>
      <c r="L51" s="77">
        <v>0.50168941341544293</v>
      </c>
      <c r="M51" s="77">
        <v>0.46841519236399015</v>
      </c>
      <c r="N51" s="77">
        <f t="shared" si="1"/>
        <v>139750.90884878329</v>
      </c>
      <c r="O51" s="77">
        <v>164.7324359034065</v>
      </c>
      <c r="P51" s="77"/>
      <c r="Q51" s="77">
        <v>1.1927033661793247</v>
      </c>
      <c r="R51" s="77">
        <v>273.91419999999999</v>
      </c>
      <c r="S51" s="77">
        <v>0.32449773959893458</v>
      </c>
      <c r="T51" s="77">
        <v>0.89082910000000004</v>
      </c>
      <c r="U51" s="77">
        <f t="shared" si="2"/>
        <v>338903.74811675726</v>
      </c>
      <c r="V51" s="77">
        <v>139.73656660626628</v>
      </c>
      <c r="W51" s="77"/>
      <c r="X51" s="77"/>
      <c r="Y51" s="77"/>
      <c r="Z51" s="77"/>
      <c r="AA51" s="77"/>
      <c r="AB51" s="77"/>
      <c r="AC51" s="77"/>
      <c r="AD51" s="77"/>
      <c r="AE51" s="76">
        <f>'DN300 PN10_Center III'!B40</f>
        <v>0</v>
      </c>
      <c r="AF51" s="76">
        <f>'DN300 PN10_Center III'!C40</f>
        <v>0</v>
      </c>
      <c r="AG51" s="76" t="e">
        <f>'DN300 PN10_Center III'!H40</f>
        <v>#DIV/0!</v>
      </c>
      <c r="AH51" s="76">
        <f>'DN300 PN10_Center III'!E40</f>
        <v>0</v>
      </c>
      <c r="AI51" s="76">
        <f t="shared" si="3"/>
        <v>0</v>
      </c>
      <c r="AJ51" s="76" t="e">
        <f>'DN300 PN10_Center III'!I40</f>
        <v>#DIV/0!</v>
      </c>
      <c r="AL51" s="76">
        <v>1.24185014640083</v>
      </c>
      <c r="AM51" s="76">
        <v>179.65808913427486</v>
      </c>
      <c r="AN51" s="76">
        <v>0.73704961497991972</v>
      </c>
      <c r="AO51" s="76">
        <v>2.7637909999999999</v>
      </c>
      <c r="AP51" s="76">
        <f t="shared" si="4"/>
        <v>280066.30420325795</v>
      </c>
      <c r="AQ51" s="76">
        <v>218.92429219611225</v>
      </c>
    </row>
    <row r="52" spans="1:43" s="76" customFormat="1" x14ac:dyDescent="0.25">
      <c r="A52" s="79" t="s">
        <v>77</v>
      </c>
      <c r="B52" s="77">
        <v>8.4785131029531424</v>
      </c>
      <c r="C52" s="77">
        <v>696.06734297146147</v>
      </c>
      <c r="D52" s="77">
        <v>3.6732564362944753E-2</v>
      </c>
      <c r="E52" s="77">
        <v>8.5228282877922137</v>
      </c>
      <c r="F52" s="77">
        <f t="shared" si="0"/>
        <v>1440417.3806014112</v>
      </c>
      <c r="G52" s="77">
        <v>1.5461176082132859</v>
      </c>
      <c r="H52" s="77"/>
      <c r="I52" s="77"/>
      <c r="J52" s="77">
        <v>1.2429105679325201</v>
      </c>
      <c r="K52" s="77">
        <v>179.8115</v>
      </c>
      <c r="L52" s="77">
        <v>0.14132902687665991</v>
      </c>
      <c r="M52" s="77">
        <v>0.53086148650826248</v>
      </c>
      <c r="N52" s="77">
        <f t="shared" si="1"/>
        <v>280305.45410402393</v>
      </c>
      <c r="O52" s="77">
        <v>39.145885383982865</v>
      </c>
      <c r="P52" s="77"/>
      <c r="Q52" s="77">
        <v>1.5560623580909481</v>
      </c>
      <c r="R52" s="77">
        <v>357.36259999999999</v>
      </c>
      <c r="S52" s="77">
        <v>0.29556670010259589</v>
      </c>
      <c r="T52" s="77">
        <v>1.3811070000000001</v>
      </c>
      <c r="U52" s="77">
        <f t="shared" si="2"/>
        <v>442151.31810161535</v>
      </c>
      <c r="V52" s="77">
        <v>126.86882397524639</v>
      </c>
      <c r="W52" s="77"/>
      <c r="X52" s="77"/>
      <c r="Y52" s="77"/>
      <c r="Z52" s="77"/>
      <c r="AA52" s="77"/>
      <c r="AB52" s="77"/>
      <c r="AC52" s="77"/>
      <c r="AD52" s="77"/>
      <c r="AE52" s="76">
        <f>'DN300 PN10_Center III'!B41</f>
        <v>0</v>
      </c>
      <c r="AF52" s="76">
        <f>'DN300 PN10_Center III'!C41</f>
        <v>0</v>
      </c>
      <c r="AG52" s="76" t="e">
        <f>'DN300 PN10_Center III'!H41</f>
        <v>#DIV/0!</v>
      </c>
      <c r="AH52" s="76">
        <f>'DN300 PN10_Center III'!E41</f>
        <v>0</v>
      </c>
      <c r="AI52" s="76">
        <f t="shared" si="3"/>
        <v>0</v>
      </c>
      <c r="AJ52" s="76" t="e">
        <f>'DN300 PN10_Center III'!I41</f>
        <v>#DIV/0!</v>
      </c>
      <c r="AL52" s="76">
        <v>1.8604760322852782</v>
      </c>
      <c r="AM52" s="76">
        <v>269.15451096029852</v>
      </c>
      <c r="AN52" s="76">
        <v>0.43576298283495407</v>
      </c>
      <c r="AO52" s="76">
        <v>3.6674869999999999</v>
      </c>
      <c r="AP52" s="76">
        <f t="shared" si="4"/>
        <v>419580.93569584237</v>
      </c>
      <c r="AQ52" s="76">
        <v>146.3053655238524</v>
      </c>
    </row>
    <row r="53" spans="1:43" s="76" customFormat="1" x14ac:dyDescent="0.25">
      <c r="A53" s="79" t="s">
        <v>77</v>
      </c>
      <c r="B53" s="77">
        <v>12.287148438011025</v>
      </c>
      <c r="C53" s="77">
        <v>1008.7479564032639</v>
      </c>
      <c r="D53" s="77">
        <v>3.7310558109436377E-2</v>
      </c>
      <c r="E53" s="77">
        <v>18.181388811497545</v>
      </c>
      <c r="F53" s="77">
        <f t="shared" si="0"/>
        <v>2087467.6907647841</v>
      </c>
      <c r="G53" s="77">
        <v>1.6221323194893251</v>
      </c>
      <c r="H53" s="77"/>
      <c r="I53" s="77"/>
      <c r="J53" s="77">
        <v>1.2444692910012269</v>
      </c>
      <c r="K53" s="77">
        <v>180.03700000000001</v>
      </c>
      <c r="L53" s="77">
        <v>0.1398932148628243</v>
      </c>
      <c r="M53" s="77">
        <v>0.52678707183319284</v>
      </c>
      <c r="N53" s="77">
        <f t="shared" si="1"/>
        <v>280656.98267644818</v>
      </c>
      <c r="O53" s="77">
        <v>38.537025372115956</v>
      </c>
      <c r="P53" s="77"/>
      <c r="Q53" s="77">
        <v>1.5590258916026156</v>
      </c>
      <c r="R53" s="77">
        <v>358.04320000000001</v>
      </c>
      <c r="S53" s="77">
        <v>0.29328815044901924</v>
      </c>
      <c r="T53" s="77">
        <v>1.375685</v>
      </c>
      <c r="U53" s="77">
        <f t="shared" si="2"/>
        <v>442993.39891001547</v>
      </c>
      <c r="V53" s="77">
        <v>125.83147665289574</v>
      </c>
      <c r="W53" s="77"/>
      <c r="X53" s="77"/>
      <c r="Y53" s="77"/>
      <c r="Z53" s="77"/>
      <c r="AA53" s="77"/>
      <c r="AB53" s="77"/>
      <c r="AC53" s="77"/>
      <c r="AD53" s="77"/>
      <c r="AE53" s="76">
        <f>'DN300 PN10_Center III'!B42</f>
        <v>0</v>
      </c>
      <c r="AF53" s="76">
        <f>'DN300 PN10_Center III'!C42</f>
        <v>0</v>
      </c>
      <c r="AG53" s="76" t="e">
        <f>'DN300 PN10_Center III'!H42</f>
        <v>#DIV/0!</v>
      </c>
      <c r="AH53" s="76">
        <f>'DN300 PN10_Center III'!E42</f>
        <v>0</v>
      </c>
      <c r="AI53" s="76">
        <f t="shared" si="3"/>
        <v>0</v>
      </c>
      <c r="AJ53" s="76" t="e">
        <f>'DN300 PN10_Center III'!I42</f>
        <v>#DIV/0!</v>
      </c>
      <c r="AL53" s="76">
        <v>2.4901351127392748</v>
      </c>
      <c r="AM53" s="76">
        <v>360.24710174370932</v>
      </c>
      <c r="AN53" s="76">
        <v>0.30919642480893755</v>
      </c>
      <c r="AO53" s="76">
        <v>4.6617649999999999</v>
      </c>
      <c r="AP53" s="76">
        <f t="shared" si="4"/>
        <v>561583.81106841867</v>
      </c>
      <c r="AQ53" s="76">
        <v>105.56054517664354</v>
      </c>
    </row>
    <row r="54" spans="1:43" s="76" customFormat="1" x14ac:dyDescent="0.25">
      <c r="A54" s="79" t="s">
        <v>77</v>
      </c>
      <c r="B54" s="77">
        <v>16.83056872517011</v>
      </c>
      <c r="C54" s="77">
        <v>1381.752803937665</v>
      </c>
      <c r="D54" s="77">
        <v>3.5895284860456483E-2</v>
      </c>
      <c r="E54" s="77">
        <v>32.819207244939165</v>
      </c>
      <c r="F54" s="77">
        <f t="shared" si="0"/>
        <v>2859350.8581944038</v>
      </c>
      <c r="G54" s="77">
        <v>1.4445133491921121</v>
      </c>
      <c r="H54" s="77"/>
      <c r="I54" s="77"/>
      <c r="J54" s="77">
        <v>1.878172129155018</v>
      </c>
      <c r="K54" s="77">
        <v>271.71460000000002</v>
      </c>
      <c r="L54" s="77">
        <v>0.10411317445257598</v>
      </c>
      <c r="M54" s="77">
        <v>0.89298992820264789</v>
      </c>
      <c r="N54" s="77">
        <f t="shared" si="1"/>
        <v>423571.82015440182</v>
      </c>
      <c r="O54" s="77">
        <v>23.610384404485433</v>
      </c>
      <c r="P54" s="77"/>
      <c r="Q54" s="77">
        <v>2.3627278197195514</v>
      </c>
      <c r="R54" s="77">
        <v>542.62</v>
      </c>
      <c r="S54" s="77">
        <v>0.28042239482005954</v>
      </c>
      <c r="T54" s="77">
        <v>3.0210499999999998</v>
      </c>
      <c r="U54" s="77">
        <f t="shared" si="2"/>
        <v>671363.3386042593</v>
      </c>
      <c r="V54" s="77">
        <v>119.90776840857785</v>
      </c>
      <c r="W54" s="77"/>
      <c r="X54" s="77"/>
      <c r="Y54" s="77"/>
      <c r="Z54" s="77"/>
      <c r="AA54" s="77"/>
      <c r="AB54" s="77"/>
      <c r="AC54" s="77"/>
      <c r="AD54" s="77"/>
      <c r="AE54" s="76">
        <f>'DN300 PN10_Center III'!B43</f>
        <v>0</v>
      </c>
      <c r="AF54" s="76">
        <f>'DN300 PN10_Center III'!C43</f>
        <v>0</v>
      </c>
      <c r="AG54" s="76" t="e">
        <f>'DN300 PN10_Center III'!H43</f>
        <v>#DIV/0!</v>
      </c>
      <c r="AH54" s="76">
        <f>'DN300 PN10_Center III'!E43</f>
        <v>0</v>
      </c>
      <c r="AI54" s="76">
        <f t="shared" si="3"/>
        <v>0</v>
      </c>
      <c r="AJ54" s="76" t="e">
        <f>'DN300 PN10_Center III'!I43</f>
        <v>#DIV/0!</v>
      </c>
      <c r="AL54" s="76">
        <v>3.719026252807359</v>
      </c>
      <c r="AM54" s="76">
        <v>538.03041530899327</v>
      </c>
      <c r="AN54" s="76">
        <v>0.25206294888540992</v>
      </c>
      <c r="AO54" s="76">
        <v>8.4769103431575523</v>
      </c>
      <c r="AP54" s="76">
        <f t="shared" si="4"/>
        <v>838727.55571787094</v>
      </c>
      <c r="AQ54" s="76">
        <v>84.487967432788764</v>
      </c>
    </row>
    <row r="55" spans="1:43" s="76" customFormat="1" x14ac:dyDescent="0.25">
      <c r="A55" s="79" t="s">
        <v>77</v>
      </c>
      <c r="B55" s="77"/>
      <c r="C55" s="77"/>
      <c r="D55" s="77"/>
      <c r="E55" s="77"/>
      <c r="F55" s="77"/>
      <c r="G55" s="77"/>
      <c r="H55" s="77"/>
      <c r="I55" s="77"/>
      <c r="J55" s="77">
        <v>1.8804607908315094</v>
      </c>
      <c r="K55" s="77">
        <v>272.04570000000001</v>
      </c>
      <c r="L55" s="77">
        <v>8.9875069120994799E-2</v>
      </c>
      <c r="M55" s="77">
        <v>0.77274800266285237</v>
      </c>
      <c r="N55" s="77">
        <f t="shared" si="1"/>
        <v>424087.96698513202</v>
      </c>
      <c r="O55" s="77">
        <v>17.983312239939508</v>
      </c>
      <c r="P55" s="77"/>
      <c r="Q55" s="77">
        <v>2.3679416531413424</v>
      </c>
      <c r="R55" s="77">
        <v>543.81740000000002</v>
      </c>
      <c r="S55" s="77">
        <v>0.29811840453674693</v>
      </c>
      <c r="T55" s="77">
        <v>3.2258830000000001</v>
      </c>
      <c r="U55" s="77">
        <f t="shared" si="2"/>
        <v>672844.83663537644</v>
      </c>
      <c r="V55" s="77">
        <v>128.0263492292581</v>
      </c>
      <c r="W55" s="77"/>
      <c r="X55" s="77"/>
      <c r="Y55" s="77"/>
      <c r="Z55" s="77"/>
      <c r="AA55" s="77"/>
      <c r="AB55" s="77"/>
      <c r="AC55" s="77"/>
      <c r="AD55" s="77"/>
      <c r="AE55" s="76">
        <f>'DN300 PN10_Center III'!B44</f>
        <v>0</v>
      </c>
      <c r="AF55" s="76">
        <f>'DN300 PN10_Center III'!C44</f>
        <v>0</v>
      </c>
      <c r="AG55" s="76" t="e">
        <f>'DN300 PN10_Center III'!H44</f>
        <v>#DIV/0!</v>
      </c>
      <c r="AH55" s="76">
        <f>'DN300 PN10_Center III'!E44</f>
        <v>0</v>
      </c>
      <c r="AI55" s="76">
        <f t="shared" si="3"/>
        <v>0</v>
      </c>
      <c r="AJ55" s="76" t="e">
        <f>'DN300 PN10_Center III'!I44</f>
        <v>#DIV/0!</v>
      </c>
      <c r="AL55" s="76">
        <v>4.8403646750850937</v>
      </c>
      <c r="AM55" s="76">
        <v>700.25410936993217</v>
      </c>
      <c r="AN55" s="76">
        <v>0.21411790718226953</v>
      </c>
      <c r="AO55" s="76">
        <v>12.197736417344554</v>
      </c>
      <c r="AP55" s="76">
        <f t="shared" si="4"/>
        <v>1091615.6425765187</v>
      </c>
      <c r="AQ55" s="76">
        <v>69.526073648212531</v>
      </c>
    </row>
    <row r="56" spans="1:43" s="76" customFormat="1" x14ac:dyDescent="0.25">
      <c r="A56" s="79" t="s">
        <v>77</v>
      </c>
      <c r="B56" s="77"/>
      <c r="C56" s="77"/>
      <c r="D56" s="77"/>
      <c r="E56" s="77"/>
      <c r="F56" s="77"/>
      <c r="G56" s="77"/>
      <c r="H56" s="77"/>
      <c r="I56" s="77"/>
      <c r="J56" s="77">
        <v>2.4962324382423628</v>
      </c>
      <c r="K56" s="77">
        <v>361.12920000000003</v>
      </c>
      <c r="L56" s="77">
        <v>7.874812715513313E-2</v>
      </c>
      <c r="M56" s="77">
        <v>1.1931096759168378</v>
      </c>
      <c r="N56" s="77">
        <f t="shared" si="1"/>
        <v>562958.90082793857</v>
      </c>
      <c r="O56" s="77">
        <v>13.83348248972654</v>
      </c>
      <c r="P56" s="77"/>
      <c r="Q56" s="77">
        <v>2.9412695633889623</v>
      </c>
      <c r="R56" s="77">
        <v>675.48689999999999</v>
      </c>
      <c r="S56" s="77">
        <v>0.26154353427484561</v>
      </c>
      <c r="T56" s="77">
        <v>4.3664800000000001</v>
      </c>
      <c r="U56" s="77">
        <f t="shared" si="2"/>
        <v>835754.56188021367</v>
      </c>
      <c r="V56" s="77">
        <v>111.01040941943604</v>
      </c>
      <c r="W56" s="77"/>
      <c r="X56" s="77"/>
      <c r="Y56" s="77"/>
      <c r="Z56" s="77"/>
      <c r="AA56" s="77"/>
      <c r="AB56" s="77"/>
      <c r="AC56" s="77"/>
      <c r="AD56" s="77"/>
      <c r="AE56" s="76">
        <f>'DN300 PN10_Center III'!B45</f>
        <v>0</v>
      </c>
      <c r="AF56" s="76">
        <f>'DN300 PN10_Center III'!C45</f>
        <v>0</v>
      </c>
      <c r="AG56" s="76" t="e">
        <f>'DN300 PN10_Center III'!H45</f>
        <v>#DIV/0!</v>
      </c>
      <c r="AH56" s="76">
        <f>'DN300 PN10_Center III'!E45</f>
        <v>0</v>
      </c>
      <c r="AI56" s="76">
        <f t="shared" si="3"/>
        <v>0</v>
      </c>
      <c r="AJ56" s="76" t="e">
        <f>'DN300 PN10_Center III'!I45</f>
        <v>#DIV/0!</v>
      </c>
      <c r="AL56" s="76">
        <v>6.2520474007350346</v>
      </c>
      <c r="AM56" s="76">
        <v>904.48182693246042</v>
      </c>
      <c r="AN56" s="76">
        <v>0.19308653895273237</v>
      </c>
      <c r="AO56" s="76">
        <v>18.35129053244561</v>
      </c>
      <c r="AP56" s="76">
        <f t="shared" si="4"/>
        <v>1409983.1725286788</v>
      </c>
      <c r="AQ56" s="76">
        <v>60.928539327972636</v>
      </c>
    </row>
    <row r="57" spans="1:43" s="76" customFormat="1" x14ac:dyDescent="0.25">
      <c r="A57" s="79" t="s">
        <v>77</v>
      </c>
      <c r="B57" s="77"/>
      <c r="C57" s="77"/>
      <c r="D57" s="77"/>
      <c r="E57" s="77"/>
      <c r="F57" s="77"/>
      <c r="G57" s="77"/>
      <c r="H57" s="77"/>
      <c r="I57" s="77"/>
      <c r="J57" s="77">
        <v>2.5037951828519951</v>
      </c>
      <c r="K57" s="77">
        <v>362.22329999999999</v>
      </c>
      <c r="L57" s="77">
        <v>7.6982745774839809E-2</v>
      </c>
      <c r="M57" s="77">
        <v>1.1734405320056942</v>
      </c>
      <c r="N57" s="77">
        <f t="shared" si="1"/>
        <v>564664.47693033027</v>
      </c>
      <c r="O57" s="77">
        <v>13.201323769815939</v>
      </c>
      <c r="P57" s="77"/>
      <c r="Q57" s="77">
        <v>2.9335180465545942</v>
      </c>
      <c r="R57" s="77">
        <v>673.70669999999996</v>
      </c>
      <c r="S57" s="77">
        <v>0.26191137547672538</v>
      </c>
      <c r="T57" s="77">
        <v>4.3496040000000002</v>
      </c>
      <c r="U57" s="77">
        <f t="shared" si="2"/>
        <v>833551.98730614095</v>
      </c>
      <c r="V57" s="77">
        <v>111.18610038438207</v>
      </c>
      <c r="W57" s="77"/>
      <c r="X57" s="77"/>
      <c r="Y57" s="77"/>
      <c r="Z57" s="77"/>
      <c r="AA57" s="77"/>
      <c r="AB57" s="77"/>
      <c r="AC57" s="77"/>
      <c r="AD57" s="77"/>
      <c r="AE57" s="76">
        <f>'DN300 PN10_Center III'!B46</f>
        <v>0</v>
      </c>
      <c r="AF57" s="76">
        <f>'DN300 PN10_Center III'!C46</f>
        <v>0</v>
      </c>
      <c r="AG57" s="76" t="e">
        <f>'DN300 PN10_Center III'!H46</f>
        <v>#DIV/0!</v>
      </c>
      <c r="AH57" s="76">
        <f>'DN300 PN10_Center III'!E46</f>
        <v>0</v>
      </c>
      <c r="AI57" s="76">
        <f t="shared" si="3"/>
        <v>0</v>
      </c>
      <c r="AJ57" s="76" t="e">
        <f>'DN300 PN10_Center III'!I46</f>
        <v>#DIV/0!</v>
      </c>
      <c r="AL57" s="76">
        <v>8.3714216876196375</v>
      </c>
      <c r="AM57" s="76">
        <v>1211.0910709266277</v>
      </c>
      <c r="AN57" s="76">
        <v>0.17559819174384214</v>
      </c>
      <c r="AO57" s="76">
        <v>29.921858582697563</v>
      </c>
      <c r="AP57" s="76">
        <f t="shared" si="4"/>
        <v>1887951.7305479182</v>
      </c>
      <c r="AQ57" s="76">
        <v>53.641792442498556</v>
      </c>
    </row>
    <row r="58" spans="1:43" s="76" customFormat="1" x14ac:dyDescent="0.25">
      <c r="A58" s="79" t="s">
        <v>77</v>
      </c>
      <c r="B58" s="77"/>
      <c r="C58" s="77"/>
      <c r="D58" s="77"/>
      <c r="E58" s="77"/>
      <c r="F58" s="77"/>
      <c r="G58" s="77"/>
      <c r="H58" s="77"/>
      <c r="I58" s="77"/>
      <c r="J58" s="77">
        <v>3.7229730688151226</v>
      </c>
      <c r="K58" s="77">
        <v>538.60140000000001</v>
      </c>
      <c r="L58" s="77">
        <v>7.6884811382977328E-2</v>
      </c>
      <c r="M58" s="77">
        <v>2.5911373317588877</v>
      </c>
      <c r="N58" s="77">
        <f t="shared" si="1"/>
        <v>839617.65520037955</v>
      </c>
      <c r="O58" s="77">
        <v>13.166493296825779</v>
      </c>
      <c r="P58" s="77"/>
      <c r="Q58" s="77">
        <v>3.9623335681572938</v>
      </c>
      <c r="R58" s="77">
        <v>909.98270000000002</v>
      </c>
      <c r="S58" s="77">
        <v>0.24240652180564148</v>
      </c>
      <c r="T58" s="77">
        <v>7.3445331777320071</v>
      </c>
      <c r="U58" s="77">
        <f t="shared" si="2"/>
        <v>1125887.4047106968</v>
      </c>
      <c r="V58" s="77">
        <v>101.74302972614309</v>
      </c>
      <c r="W58" s="77"/>
      <c r="X58" s="77"/>
      <c r="Y58" s="77"/>
      <c r="Z58" s="77"/>
      <c r="AA58" s="77"/>
      <c r="AB58" s="77"/>
      <c r="AC58" s="77"/>
      <c r="AD58" s="77"/>
      <c r="AE58" s="76">
        <f>'DN300 PN10_Center III'!B47</f>
        <v>0</v>
      </c>
      <c r="AF58" s="76">
        <f>'DN300 PN10_Center III'!C47</f>
        <v>0</v>
      </c>
      <c r="AG58" s="76" t="e">
        <f>'DN300 PN10_Center III'!H47</f>
        <v>#DIV/0!</v>
      </c>
      <c r="AH58" s="76">
        <f>'DN300 PN10_Center III'!E47</f>
        <v>0</v>
      </c>
      <c r="AI58" s="76">
        <f t="shared" si="3"/>
        <v>0</v>
      </c>
      <c r="AJ58" s="76" t="e">
        <f>'DN300 PN10_Center III'!I47</f>
        <v>#DIV/0!</v>
      </c>
      <c r="AL58" s="76">
        <v>9.724589210371386</v>
      </c>
      <c r="AM58" s="76">
        <v>1406.8534115928678</v>
      </c>
      <c r="AN58" s="76">
        <v>0.17024151343310956</v>
      </c>
      <c r="AO58" s="76">
        <v>39.145161566643587</v>
      </c>
      <c r="AP58" s="76">
        <f t="shared" si="4"/>
        <v>2193122.7112522507</v>
      </c>
      <c r="AQ58" s="76">
        <v>51.389771753722208</v>
      </c>
    </row>
    <row r="59" spans="1:43" s="76" customFormat="1" x14ac:dyDescent="0.25">
      <c r="A59" s="79" t="s">
        <v>77</v>
      </c>
      <c r="B59" s="77"/>
      <c r="C59" s="77"/>
      <c r="D59" s="77"/>
      <c r="E59" s="77"/>
      <c r="F59" s="77"/>
      <c r="G59" s="77"/>
      <c r="H59" s="77"/>
      <c r="I59" s="77"/>
      <c r="J59" s="77">
        <v>3.7305606976954757</v>
      </c>
      <c r="K59" s="77">
        <v>539.69910000000004</v>
      </c>
      <c r="L59" s="77">
        <v>7.6052299729792938E-2</v>
      </c>
      <c r="M59" s="77">
        <v>2.5735384492033608</v>
      </c>
      <c r="N59" s="77">
        <f t="shared" si="1"/>
        <v>841328.84328885004</v>
      </c>
      <c r="O59" s="77">
        <v>12.871448608106794</v>
      </c>
      <c r="P59" s="77"/>
      <c r="Q59" s="77">
        <v>3.9701595434445704</v>
      </c>
      <c r="R59" s="77">
        <v>911.78</v>
      </c>
      <c r="S59" s="77">
        <v>0.24068285443049142</v>
      </c>
      <c r="T59" s="77">
        <v>7.3211432057611168</v>
      </c>
      <c r="U59" s="77">
        <f t="shared" si="2"/>
        <v>1128111.1364722857</v>
      </c>
      <c r="V59" s="77">
        <v>100.89617808667835</v>
      </c>
      <c r="W59" s="77"/>
      <c r="X59" s="77"/>
      <c r="Y59" s="77"/>
      <c r="Z59" s="77"/>
      <c r="AA59" s="77"/>
      <c r="AB59" s="77"/>
      <c r="AC59" s="77"/>
      <c r="AD59" s="77"/>
    </row>
    <row r="60" spans="1:43" x14ac:dyDescent="0.25">
      <c r="A60" s="44" t="s">
        <v>79</v>
      </c>
      <c r="B60" s="8">
        <v>2.5318676127592101</v>
      </c>
      <c r="C60" s="8">
        <v>207.8607817867213</v>
      </c>
      <c r="D60" s="8">
        <v>0.12148223303460244</v>
      </c>
      <c r="E60" s="8">
        <v>2.5135518720581467</v>
      </c>
      <c r="F60" s="8">
        <f t="shared" si="0"/>
        <v>430139.8217489227</v>
      </c>
      <c r="G60" s="8">
        <v>23.17022995492113</v>
      </c>
      <c r="H60" s="8"/>
      <c r="I60" s="8"/>
      <c r="J60" s="8">
        <v>0.620109459658157</v>
      </c>
      <c r="K60" s="8">
        <v>89.71105</v>
      </c>
      <c r="L60" s="8">
        <v>0.30507933144544258</v>
      </c>
      <c r="M60" s="8">
        <v>0.28524601631434354</v>
      </c>
      <c r="N60" s="8">
        <f t="shared" si="1"/>
        <v>139849.21213826034</v>
      </c>
      <c r="O60" s="8">
        <v>104.100924019622</v>
      </c>
      <c r="P60" s="8"/>
      <c r="Q60" s="8">
        <v>1.1820623388566485</v>
      </c>
      <c r="R60" s="8">
        <v>271.47039999999998</v>
      </c>
      <c r="S60" s="8">
        <v>0.2788318467099597</v>
      </c>
      <c r="T60" s="8">
        <v>0.7518669</v>
      </c>
      <c r="U60" s="8">
        <f t="shared" si="2"/>
        <v>335880.12619555811</v>
      </c>
      <c r="V60" s="8">
        <v>119.16758526573111</v>
      </c>
      <c r="W60" s="8"/>
      <c r="X60" s="8"/>
      <c r="Y60" s="8"/>
      <c r="Z60" s="8"/>
      <c r="AA60" s="8"/>
      <c r="AB60" s="8"/>
      <c r="AC60" s="8"/>
      <c r="AD60" s="8"/>
      <c r="AL60">
        <v>0.62576859518800243</v>
      </c>
      <c r="AM60">
        <v>90.529755443962443</v>
      </c>
      <c r="AN60">
        <v>2.5277823640292647</v>
      </c>
      <c r="AO60">
        <v>2.4067850000000002</v>
      </c>
      <c r="AP60">
        <f t="shared" si="4"/>
        <v>141125.47979214968</v>
      </c>
      <c r="AQ60">
        <v>405.70387792374868</v>
      </c>
    </row>
    <row r="61" spans="1:43" x14ac:dyDescent="0.25">
      <c r="A61" s="44" t="s">
        <v>79</v>
      </c>
      <c r="B61" s="8">
        <v>4.8780668376572631</v>
      </c>
      <c r="C61" s="8">
        <v>400.47859586872852</v>
      </c>
      <c r="D61" s="8">
        <v>8.8836609223845883E-2</v>
      </c>
      <c r="E61" s="8">
        <v>6.823081611777817</v>
      </c>
      <c r="F61" s="8">
        <f t="shared" si="0"/>
        <v>828736.3799968072</v>
      </c>
      <c r="G61" s="8">
        <v>13.240880105771422</v>
      </c>
      <c r="H61" s="8"/>
      <c r="I61" s="8"/>
      <c r="J61" s="8">
        <v>0.62261032886551015</v>
      </c>
      <c r="K61" s="8">
        <v>90.072850000000003</v>
      </c>
      <c r="L61" s="8">
        <v>0.39238768040418054</v>
      </c>
      <c r="M61" s="8">
        <v>0.36984358898703418</v>
      </c>
      <c r="N61" s="8">
        <f t="shared" si="1"/>
        <v>140413.21673916094</v>
      </c>
      <c r="O61" s="8">
        <v>133.19662590958905</v>
      </c>
      <c r="P61" s="8"/>
      <c r="Q61" s="8">
        <v>1.1824803512238538</v>
      </c>
      <c r="R61" s="8">
        <v>271.56639999999999</v>
      </c>
      <c r="S61" s="8">
        <v>0.26994487890837582</v>
      </c>
      <c r="T61" s="8">
        <v>0.72841820000000002</v>
      </c>
      <c r="U61" s="8">
        <f t="shared" si="2"/>
        <v>335998.9033886324</v>
      </c>
      <c r="V61" s="8">
        <v>115.00001516279013</v>
      </c>
      <c r="W61" s="8"/>
      <c r="X61" s="8"/>
      <c r="Y61" s="8"/>
      <c r="Z61" s="8"/>
      <c r="AA61" s="8"/>
      <c r="AB61" s="8"/>
      <c r="AC61" s="8"/>
      <c r="AD61" s="8"/>
      <c r="AL61">
        <v>1.2444687059710406</v>
      </c>
      <c r="AM61">
        <v>180.03691536385801</v>
      </c>
      <c r="AN61">
        <v>0.79190128266008442</v>
      </c>
      <c r="AO61">
        <v>2.9820099999999998</v>
      </c>
      <c r="AP61">
        <f t="shared" si="4"/>
        <v>280656.85073843412</v>
      </c>
      <c r="AQ61">
        <v>229.52293477648763</v>
      </c>
    </row>
    <row r="62" spans="1:43" x14ac:dyDescent="0.25">
      <c r="A62" s="44" t="s">
        <v>79</v>
      </c>
      <c r="B62" s="8">
        <v>8.5152523505582014</v>
      </c>
      <c r="C62" s="8">
        <v>699.08355467659135</v>
      </c>
      <c r="D62" s="8">
        <v>8.7084055040248604E-2</v>
      </c>
      <c r="E62" s="8">
        <v>20.381060980457352</v>
      </c>
      <c r="F62" s="8">
        <f t="shared" si="0"/>
        <v>1446659.0234647235</v>
      </c>
      <c r="G62" s="8">
        <v>12.74102933252078</v>
      </c>
      <c r="H62" s="8"/>
      <c r="I62" s="8"/>
      <c r="J62" s="8">
        <v>1.2503903649730863</v>
      </c>
      <c r="K62" s="8">
        <v>180.89359999999999</v>
      </c>
      <c r="L62" s="8">
        <v>0.17111377240808071</v>
      </c>
      <c r="M62" s="8">
        <v>0.65049848866652282</v>
      </c>
      <c r="N62" s="8">
        <f t="shared" si="1"/>
        <v>281992.32358615368</v>
      </c>
      <c r="O62" s="8">
        <v>51.757021802969213</v>
      </c>
      <c r="P62" s="8"/>
      <c r="Q62" s="8">
        <v>1.565109277834104</v>
      </c>
      <c r="R62" s="8">
        <v>359.44029999999998</v>
      </c>
      <c r="S62" s="8">
        <v>0.26869450981634169</v>
      </c>
      <c r="T62" s="8">
        <v>1.2701819999999999</v>
      </c>
      <c r="U62" s="8">
        <f t="shared" si="2"/>
        <v>444721.97824797576</v>
      </c>
      <c r="V62" s="8">
        <v>114.40930651923497</v>
      </c>
      <c r="W62" s="8"/>
      <c r="X62" s="8"/>
      <c r="Y62" s="8"/>
      <c r="Z62" s="8"/>
      <c r="AA62" s="8"/>
      <c r="AB62" s="8"/>
      <c r="AC62" s="8"/>
      <c r="AD62" s="8"/>
      <c r="AL62">
        <v>1.888244213647376</v>
      </c>
      <c r="AM62">
        <v>273.17172545007179</v>
      </c>
      <c r="AN62">
        <v>0.51399911868090986</v>
      </c>
      <c r="AO62">
        <v>4.4560370000000002</v>
      </c>
      <c r="AP62">
        <f t="shared" si="4"/>
        <v>425843.31119345612</v>
      </c>
      <c r="AQ62">
        <v>167.98994423988589</v>
      </c>
    </row>
    <row r="63" spans="1:43" x14ac:dyDescent="0.25">
      <c r="A63" s="44" t="s">
        <v>79</v>
      </c>
      <c r="B63" s="8">
        <v>12.238162774537612</v>
      </c>
      <c r="C63" s="8">
        <v>1004.726340796424</v>
      </c>
      <c r="D63" s="8">
        <v>8.5449201789778079E-2</v>
      </c>
      <c r="E63" s="8">
        <v>41.307942115152244</v>
      </c>
      <c r="F63" s="8">
        <f t="shared" si="0"/>
        <v>2079145.5002803681</v>
      </c>
      <c r="G63" s="8">
        <v>12.277419669336714</v>
      </c>
      <c r="H63" s="8"/>
      <c r="I63" s="8"/>
      <c r="J63" s="8">
        <v>1.2482440966234922</v>
      </c>
      <c r="K63" s="8">
        <v>180.5831</v>
      </c>
      <c r="L63" s="8">
        <v>0.15632324761076682</v>
      </c>
      <c r="M63" s="8">
        <v>0.59223313125223387</v>
      </c>
      <c r="N63" s="8">
        <f t="shared" si="1"/>
        <v>281508.28978687327</v>
      </c>
      <c r="O63" s="8">
        <v>45.507150450590089</v>
      </c>
      <c r="P63" s="8"/>
      <c r="Q63" s="8">
        <v>1.5634015231422496</v>
      </c>
      <c r="R63" s="8">
        <v>359.04809999999998</v>
      </c>
      <c r="S63" s="8">
        <v>0.27253332133960273</v>
      </c>
      <c r="T63" s="8">
        <v>1.2855190000000001</v>
      </c>
      <c r="U63" s="8">
        <f t="shared" si="2"/>
        <v>444236.72392376984</v>
      </c>
      <c r="V63" s="8">
        <v>116.21946049332676</v>
      </c>
      <c r="W63" s="8"/>
      <c r="X63" s="8"/>
      <c r="Y63" s="8"/>
      <c r="Z63" s="8"/>
      <c r="AA63" s="8"/>
      <c r="AB63" s="8"/>
      <c r="AC63" s="8"/>
      <c r="AD63" s="8"/>
      <c r="AL63">
        <v>2.489385219099185</v>
      </c>
      <c r="AM63">
        <v>360.13861485515605</v>
      </c>
      <c r="AN63">
        <v>0.42619964868430033</v>
      </c>
      <c r="AO63">
        <v>6.4219569427198282</v>
      </c>
      <c r="AP63">
        <f t="shared" si="4"/>
        <v>561414.6924827873</v>
      </c>
      <c r="AQ63">
        <v>143.48599269546938</v>
      </c>
    </row>
    <row r="64" spans="1:43" x14ac:dyDescent="0.25">
      <c r="A64" s="44" t="s">
        <v>79</v>
      </c>
      <c r="B64" s="8">
        <v>16.548901160197982</v>
      </c>
      <c r="C64" s="8">
        <v>1358.6285141983356</v>
      </c>
      <c r="D64" s="8">
        <v>8.3386352031046801E-2</v>
      </c>
      <c r="E64" s="8">
        <v>73.709997776830761</v>
      </c>
      <c r="F64" s="8">
        <f t="shared" si="0"/>
        <v>2811498.2629090091</v>
      </c>
      <c r="G64" s="8">
        <v>11.697656625685779</v>
      </c>
      <c r="H64" s="8"/>
      <c r="I64" s="8"/>
      <c r="J64" s="8">
        <v>1.8653304630040488</v>
      </c>
      <c r="K64" s="8">
        <v>269.85680000000002</v>
      </c>
      <c r="L64" s="8">
        <v>0.15931805992458173</v>
      </c>
      <c r="M64" s="8">
        <v>1.347865830537063</v>
      </c>
      <c r="N64" s="8">
        <f t="shared" si="1"/>
        <v>420675.72356083337</v>
      </c>
      <c r="O64" s="8">
        <v>46.775878278928793</v>
      </c>
      <c r="P64" s="8"/>
      <c r="Q64" s="8">
        <v>2.3598130543173914</v>
      </c>
      <c r="R64" s="8">
        <v>541.95060000000001</v>
      </c>
      <c r="S64" s="8">
        <v>0.26528513576727025</v>
      </c>
      <c r="T64" s="8">
        <v>2.8509259999999998</v>
      </c>
      <c r="U64" s="8">
        <f t="shared" si="2"/>
        <v>670535.11513505131</v>
      </c>
      <c r="V64" s="8">
        <v>112.79318090076904</v>
      </c>
      <c r="W64" s="8"/>
      <c r="X64" s="8"/>
      <c r="Y64" s="8"/>
      <c r="Z64" s="8"/>
      <c r="AA64" s="8"/>
      <c r="AB64" s="8"/>
      <c r="AC64" s="8"/>
      <c r="AD64" s="8"/>
      <c r="AL64">
        <v>3.4453523960701391</v>
      </c>
      <c r="AM64">
        <v>498.4381003345049</v>
      </c>
      <c r="AN64">
        <v>0.34740567859756855</v>
      </c>
      <c r="AO64">
        <v>10.027075836790788</v>
      </c>
      <c r="AP64">
        <f t="shared" si="4"/>
        <v>777007.68892429257</v>
      </c>
      <c r="AQ64">
        <v>118.68347675783168</v>
      </c>
    </row>
    <row r="65" spans="1:43" x14ac:dyDescent="0.25">
      <c r="A65" s="44" t="s">
        <v>79</v>
      </c>
      <c r="B65" s="8"/>
      <c r="C65" s="8"/>
      <c r="D65" s="8"/>
      <c r="E65" s="8"/>
      <c r="F65" s="8"/>
      <c r="G65" s="8"/>
      <c r="H65" s="8"/>
      <c r="I65" s="8"/>
      <c r="J65" s="8">
        <v>1.8537675718761868</v>
      </c>
      <c r="K65" s="8">
        <v>268.18400000000003</v>
      </c>
      <c r="L65" s="8">
        <v>0.16021151635204278</v>
      </c>
      <c r="M65" s="8">
        <v>1.338672621439934</v>
      </c>
      <c r="N65" s="8">
        <f t="shared" si="1"/>
        <v>418068.02069630451</v>
      </c>
      <c r="O65" s="8">
        <v>47.154130612058019</v>
      </c>
      <c r="P65" s="8"/>
      <c r="Q65" s="8">
        <v>2.3644477664387824</v>
      </c>
      <c r="R65" s="8">
        <v>543.01499999999999</v>
      </c>
      <c r="S65" s="8">
        <v>0.26669876151453481</v>
      </c>
      <c r="T65" s="8">
        <v>2.8773870000000001</v>
      </c>
      <c r="U65" s="8">
        <f t="shared" si="2"/>
        <v>671852.05726326315</v>
      </c>
      <c r="V65" s="8">
        <v>113.46424018234434</v>
      </c>
      <c r="W65" s="8"/>
      <c r="X65" s="8"/>
      <c r="Y65" s="8"/>
      <c r="Z65" s="8"/>
      <c r="AA65" s="8"/>
      <c r="AB65" s="8"/>
      <c r="AC65" s="8"/>
      <c r="AD65" s="8"/>
      <c r="AL65">
        <v>4.8652127637012219</v>
      </c>
      <c r="AM65">
        <v>703.84887491580002</v>
      </c>
      <c r="AN65">
        <v>0.29926052955493027</v>
      </c>
      <c r="AO65">
        <v>17.223571166618814</v>
      </c>
      <c r="AP65">
        <f t="shared" si="4"/>
        <v>1097219.4687429874</v>
      </c>
      <c r="AQ65">
        <v>102.02256610712789</v>
      </c>
    </row>
    <row r="66" spans="1:43" x14ac:dyDescent="0.25">
      <c r="A66" s="44" t="s">
        <v>79</v>
      </c>
      <c r="B66" s="8"/>
      <c r="C66" s="8"/>
      <c r="D66" s="8"/>
      <c r="E66" s="8"/>
      <c r="F66" s="8"/>
      <c r="G66" s="8"/>
      <c r="H66" s="8"/>
      <c r="I66" s="8"/>
      <c r="J66" s="8">
        <v>2.4784816584621443</v>
      </c>
      <c r="K66" s="8">
        <v>358.56119999999999</v>
      </c>
      <c r="L66" s="8">
        <v>0.15066802757064346</v>
      </c>
      <c r="M66" s="8">
        <v>2.2504149819263013</v>
      </c>
      <c r="N66" s="8">
        <f t="shared" si="1"/>
        <v>558955.68409186148</v>
      </c>
      <c r="O66" s="8">
        <v>43.108711518207237</v>
      </c>
      <c r="P66" s="8"/>
      <c r="Q66" s="8">
        <v>2.9318812668792549</v>
      </c>
      <c r="R66" s="8">
        <v>673.33079999999995</v>
      </c>
      <c r="S66" s="8">
        <v>0.27674408924398852</v>
      </c>
      <c r="T66" s="8">
        <v>4.5908059999999997</v>
      </c>
      <c r="U66" s="8">
        <f t="shared" si="2"/>
        <v>833086.90035950916</v>
      </c>
      <c r="V66" s="8">
        <v>118.19338933380016</v>
      </c>
      <c r="W66" s="8"/>
      <c r="X66" s="8"/>
      <c r="Y66" s="8"/>
      <c r="Z66" s="8"/>
      <c r="AA66" s="8"/>
      <c r="AB66" s="8"/>
      <c r="AC66" s="8"/>
      <c r="AD66" s="8"/>
      <c r="AL66">
        <v>6.2062382297994283</v>
      </c>
      <c r="AM66">
        <v>897.85462787871882</v>
      </c>
      <c r="AN66">
        <v>0.28444652747908533</v>
      </c>
      <c r="AO66">
        <v>26.639594482964753</v>
      </c>
      <c r="AP66">
        <f t="shared" si="4"/>
        <v>1399652.1311870692</v>
      </c>
      <c r="AQ66">
        <v>96.649087349732724</v>
      </c>
    </row>
    <row r="67" spans="1:43" x14ac:dyDescent="0.25">
      <c r="A67" s="44" t="s">
        <v>79</v>
      </c>
      <c r="B67" s="8"/>
      <c r="C67" s="8"/>
      <c r="D67" s="8"/>
      <c r="E67" s="8"/>
      <c r="F67" s="8"/>
      <c r="G67" s="8"/>
      <c r="H67" s="8"/>
      <c r="I67" s="8"/>
      <c r="J67" s="8">
        <v>2.495295130711912</v>
      </c>
      <c r="K67" s="8">
        <v>360.99360000000001</v>
      </c>
      <c r="L67" s="8">
        <v>0.14857904618669612</v>
      </c>
      <c r="M67" s="8">
        <v>2.2494248737587594</v>
      </c>
      <c r="N67" s="8">
        <f t="shared" si="1"/>
        <v>562747.51601897751</v>
      </c>
      <c r="O67" s="8">
        <v>42.222240400235918</v>
      </c>
      <c r="P67" s="8"/>
      <c r="Q67" s="8">
        <v>2.94643767670809</v>
      </c>
      <c r="R67" s="8">
        <v>676.67380000000003</v>
      </c>
      <c r="S67" s="8">
        <v>0.27568160105212808</v>
      </c>
      <c r="T67" s="8">
        <v>4.6187040000000001</v>
      </c>
      <c r="U67" s="8">
        <f t="shared" si="2"/>
        <v>837223.06865583814</v>
      </c>
      <c r="V67" s="8">
        <v>117.69646115612862</v>
      </c>
      <c r="W67" s="8"/>
      <c r="X67" s="8"/>
      <c r="Y67" s="8"/>
      <c r="Z67" s="8"/>
      <c r="AA67" s="8"/>
      <c r="AB67" s="8"/>
      <c r="AC67" s="8"/>
      <c r="AD67" s="8"/>
      <c r="AL67">
        <v>8.294020223330584</v>
      </c>
      <c r="AM67">
        <v>1199.8934242454493</v>
      </c>
      <c r="AN67">
        <v>0.26864357091404867</v>
      </c>
      <c r="AO67">
        <v>44.934169632015397</v>
      </c>
      <c r="AP67">
        <f t="shared" si="4"/>
        <v>1870495.8868568076</v>
      </c>
      <c r="AQ67">
        <v>90.785742132146822</v>
      </c>
    </row>
    <row r="68" spans="1:43" x14ac:dyDescent="0.25">
      <c r="A68" s="44" t="s">
        <v>79</v>
      </c>
      <c r="B68" s="8"/>
      <c r="C68" s="8"/>
      <c r="D68" s="8"/>
      <c r="E68" s="8"/>
      <c r="F68" s="8"/>
      <c r="G68" s="8"/>
      <c r="H68" s="8"/>
      <c r="I68" s="8"/>
      <c r="J68" s="8">
        <v>3.7534742724203372</v>
      </c>
      <c r="K68" s="8">
        <v>543.01400000000001</v>
      </c>
      <c r="L68" s="8">
        <v>0.14918622488410882</v>
      </c>
      <c r="M68" s="8">
        <v>5.1105271531928427</v>
      </c>
      <c r="N68" s="8">
        <f t="shared" si="1"/>
        <v>846496.39124773711</v>
      </c>
      <c r="O68" s="8">
        <v>42.479914283646011</v>
      </c>
      <c r="P68" s="8"/>
      <c r="Q68" s="8">
        <v>3.9342688274244821</v>
      </c>
      <c r="R68" s="8">
        <v>903.53740000000005</v>
      </c>
      <c r="S68" s="8">
        <v>0.27480307397446579</v>
      </c>
      <c r="T68" s="8">
        <v>8.2085694995643497</v>
      </c>
      <c r="U68" s="8">
        <f t="shared" si="2"/>
        <v>1117912.8771844241</v>
      </c>
      <c r="V68" s="8">
        <v>117.28498770235554</v>
      </c>
      <c r="W68" s="8"/>
      <c r="X68" s="8"/>
      <c r="Y68" s="8"/>
      <c r="Z68" s="8"/>
      <c r="AA68" s="8"/>
      <c r="AB68" s="8"/>
      <c r="AC68" s="8"/>
      <c r="AD68" s="8"/>
    </row>
    <row r="69" spans="1:43" x14ac:dyDescent="0.25">
      <c r="A69" s="44" t="s">
        <v>79</v>
      </c>
      <c r="B69" s="8"/>
      <c r="C69" s="8"/>
      <c r="D69" s="8"/>
      <c r="E69" s="8"/>
      <c r="F69" s="8"/>
      <c r="G69" s="8"/>
      <c r="H69" s="8"/>
      <c r="I69" s="8"/>
      <c r="J69" s="8">
        <v>3.7369317622295197</v>
      </c>
      <c r="K69" s="8">
        <v>540.62080000000003</v>
      </c>
      <c r="L69" s="8">
        <v>0.1507090936329093</v>
      </c>
      <c r="M69" s="8">
        <v>5.1172882628753804</v>
      </c>
      <c r="N69" s="8">
        <f t="shared" ref="N69:N118" si="5">J69*226.2/1000/0.000001003</f>
        <v>842765.66761347698</v>
      </c>
      <c r="O69" s="8">
        <v>43.126136452034984</v>
      </c>
      <c r="P69" s="8"/>
      <c r="Q69" s="8">
        <v>3.9355045764850334</v>
      </c>
      <c r="R69" s="8">
        <v>903.82119999999998</v>
      </c>
      <c r="S69" s="8">
        <v>0.27564068598085617</v>
      </c>
      <c r="T69" s="8">
        <v>8.2387627182125307</v>
      </c>
      <c r="U69" s="8">
        <f t="shared" si="2"/>
        <v>1118264.0122614501</v>
      </c>
      <c r="V69" s="8">
        <v>117.67730961404513</v>
      </c>
      <c r="W69" s="8"/>
      <c r="X69" s="8"/>
      <c r="Y69" s="8"/>
      <c r="Z69" s="8"/>
      <c r="AA69" s="8"/>
      <c r="AB69" s="8"/>
      <c r="AC69" s="8"/>
      <c r="AD69" s="8"/>
    </row>
    <row r="70" spans="1:43" s="76" customFormat="1" x14ac:dyDescent="0.25">
      <c r="A70" s="79" t="s">
        <v>78</v>
      </c>
      <c r="B70" s="77">
        <v>1.8261367283377732</v>
      </c>
      <c r="C70" s="77">
        <v>149.92182296137878</v>
      </c>
      <c r="D70" s="77">
        <v>0.18347017807239577</v>
      </c>
      <c r="E70" s="77">
        <v>1.9748093020640507</v>
      </c>
      <c r="F70" s="77">
        <f t="shared" ref="F70:F132" si="6">B70*170.4/1000/0.000001003</f>
        <v>310242.96959995665</v>
      </c>
      <c r="G70" s="77">
        <v>42.890239685036363</v>
      </c>
      <c r="H70" s="77"/>
      <c r="I70" s="77"/>
      <c r="J70" s="77">
        <v>0.62093686165959472</v>
      </c>
      <c r="K70" s="77">
        <v>89.830749999999995</v>
      </c>
      <c r="L70" s="77">
        <v>0.27275497228988865</v>
      </c>
      <c r="M70" s="77">
        <v>0.25570407550132118</v>
      </c>
      <c r="N70" s="77">
        <f t="shared" si="5"/>
        <v>140035.8106753742</v>
      </c>
      <c r="O70" s="77">
        <v>92.324259660156059</v>
      </c>
      <c r="P70" s="77"/>
      <c r="Q70" s="77">
        <v>1.158836962133339</v>
      </c>
      <c r="R70" s="77">
        <v>266.13650000000001</v>
      </c>
      <c r="S70" s="77">
        <v>0.32018600076692366</v>
      </c>
      <c r="T70" s="77">
        <v>0.82978359999999995</v>
      </c>
      <c r="U70" s="77">
        <f t="shared" si="2"/>
        <v>329280.6921316068</v>
      </c>
      <c r="V70" s="77">
        <v>137.85415971168823</v>
      </c>
      <c r="W70" s="77"/>
      <c r="X70" s="77"/>
      <c r="Y70" s="77"/>
      <c r="Z70" s="77"/>
      <c r="AA70" s="77"/>
      <c r="AB70" s="77"/>
      <c r="AC70" s="77"/>
      <c r="AD70" s="77"/>
      <c r="AE70" s="76">
        <f>'DN300 PN10_Center III'!AF39</f>
        <v>0.40930377622210362</v>
      </c>
      <c r="AF70" s="76">
        <f>'DN300 PN10_Center III'!AG39</f>
        <v>94</v>
      </c>
      <c r="AG70" s="76">
        <f>'DN300 PN10_Center III'!AL39</f>
        <v>6.6191838048519749</v>
      </c>
      <c r="AH70" s="76">
        <f>'DN300 PN10_Center III'!AI39</f>
        <v>2.14</v>
      </c>
      <c r="AI70" s="76">
        <f t="shared" si="3"/>
        <v>116302.66821864359</v>
      </c>
      <c r="AJ70" s="76">
        <f>'DN300 PN10_Center III'!AM39</f>
        <v>674.06858090086462</v>
      </c>
    </row>
    <row r="71" spans="1:43" s="76" customFormat="1" x14ac:dyDescent="0.25">
      <c r="A71" s="79" t="s">
        <v>78</v>
      </c>
      <c r="B71" s="77">
        <v>4.8413275900522033</v>
      </c>
      <c r="C71" s="77">
        <v>397.46238416359859</v>
      </c>
      <c r="D71" s="77">
        <v>0.13935504431728926</v>
      </c>
      <c r="E71" s="77">
        <v>10.542527279291672</v>
      </c>
      <c r="F71" s="77">
        <f t="shared" si="6"/>
        <v>822494.73713349504</v>
      </c>
      <c r="G71" s="77">
        <v>28.858673423924792</v>
      </c>
      <c r="H71" s="77"/>
      <c r="I71" s="77"/>
      <c r="J71" s="77">
        <v>0.62035719639776865</v>
      </c>
      <c r="K71" s="77">
        <v>89.746889999999993</v>
      </c>
      <c r="L71" s="77">
        <v>0.27122574676568073</v>
      </c>
      <c r="M71" s="77">
        <v>0.25379592909175808</v>
      </c>
      <c r="N71" s="77">
        <f t="shared" si="5"/>
        <v>139905.08257744292</v>
      </c>
      <c r="O71" s="77">
        <v>91.753086136066358</v>
      </c>
      <c r="P71" s="77"/>
      <c r="Q71" s="77">
        <v>1.1585652540946554</v>
      </c>
      <c r="R71" s="77">
        <v>266.07409999999999</v>
      </c>
      <c r="S71" s="77">
        <v>0.32310130568704015</v>
      </c>
      <c r="T71" s="77">
        <v>0.83694619999999997</v>
      </c>
      <c r="U71" s="77">
        <f t="shared" si="2"/>
        <v>329203.48695610848</v>
      </c>
      <c r="V71" s="77">
        <v>139.12825502081591</v>
      </c>
      <c r="W71" s="77"/>
      <c r="X71" s="77"/>
      <c r="Y71" s="77"/>
      <c r="Z71" s="77"/>
      <c r="AA71" s="77"/>
      <c r="AB71" s="77"/>
      <c r="AC71" s="77"/>
      <c r="AD71" s="77"/>
      <c r="AE71" s="76">
        <f>'DN300 PN10_Center III'!AF40</f>
        <v>0.41365807171382807</v>
      </c>
      <c r="AF71" s="76">
        <f>'DN300 PN10_Center III'!AG40</f>
        <v>95</v>
      </c>
      <c r="AG71" s="76">
        <f>'DN300 PN10_Center III'!AL40</f>
        <v>6.510849013089028</v>
      </c>
      <c r="AH71" s="76">
        <f>'DN300 PN10_Center III'!AI40</f>
        <v>2.15</v>
      </c>
      <c r="AI71" s="76">
        <f t="shared" si="3"/>
        <v>117539.93064650151</v>
      </c>
      <c r="AJ71" s="76">
        <f>'DN300 PN10_Center III'!AM40</f>
        <v>671.57405709942702</v>
      </c>
    </row>
    <row r="72" spans="1:43" s="76" customFormat="1" x14ac:dyDescent="0.25">
      <c r="A72" s="79" t="s">
        <v>78</v>
      </c>
      <c r="B72" s="77">
        <v>8.5397451822949098</v>
      </c>
      <c r="C72" s="77">
        <v>701.09436248001134</v>
      </c>
      <c r="D72" s="77">
        <v>0.13675040608235436</v>
      </c>
      <c r="E72" s="77">
        <v>32.189301123827953</v>
      </c>
      <c r="F72" s="77">
        <f t="shared" si="6"/>
        <v>1450820.1187069318</v>
      </c>
      <c r="G72" s="77">
        <v>28.027285046952947</v>
      </c>
      <c r="H72" s="77"/>
      <c r="I72" s="77"/>
      <c r="J72" s="77">
        <v>1.2546186173062479</v>
      </c>
      <c r="K72" s="77">
        <v>181.50530000000001</v>
      </c>
      <c r="L72" s="77">
        <v>0.20451167118649918</v>
      </c>
      <c r="M72" s="77">
        <v>0.78272939173415801</v>
      </c>
      <c r="N72" s="77">
        <f t="shared" si="5"/>
        <v>282945.89355401124</v>
      </c>
      <c r="O72" s="77">
        <v>65.623806689662203</v>
      </c>
      <c r="P72" s="77"/>
      <c r="Q72" s="77">
        <v>1.5662257191981823</v>
      </c>
      <c r="R72" s="77">
        <v>359.69670000000002</v>
      </c>
      <c r="S72" s="77">
        <v>0.33653787815942166</v>
      </c>
      <c r="T72" s="77">
        <v>1.593164</v>
      </c>
      <c r="U72" s="77">
        <f t="shared" si="2"/>
        <v>445039.21233447857</v>
      </c>
      <c r="V72" s="77">
        <v>144.92864428318163</v>
      </c>
      <c r="W72" s="77"/>
      <c r="X72" s="77"/>
      <c r="Y72" s="77"/>
      <c r="Z72" s="77"/>
      <c r="AA72" s="77"/>
      <c r="AB72" s="77"/>
      <c r="AC72" s="77"/>
      <c r="AD72" s="77"/>
      <c r="AE72" s="76">
        <f>'DN300 PN10_Center III'!AF41</f>
        <v>0.78440064249076868</v>
      </c>
      <c r="AF72" s="76">
        <f>'DN300 PN10_Center III'!AG41</f>
        <v>180.14410000000001</v>
      </c>
      <c r="AG72" s="76">
        <f>'DN300 PN10_Center III'!AL41</f>
        <v>1.9560795255941796</v>
      </c>
      <c r="AH72" s="76">
        <f>'DN300 PN10_Center III'!AI41</f>
        <v>2.3226309999999999</v>
      </c>
      <c r="AI72" s="76">
        <f t="shared" si="3"/>
        <v>222885.52653027824</v>
      </c>
      <c r="AJ72" s="76">
        <f>'DN300 PN10_Center III'!AM41</f>
        <v>462.96270207334874</v>
      </c>
    </row>
    <row r="73" spans="1:43" s="76" customFormat="1" x14ac:dyDescent="0.25">
      <c r="A73" s="79" t="s">
        <v>78</v>
      </c>
      <c r="B73" s="77">
        <v>12.213669942800907</v>
      </c>
      <c r="C73" s="77">
        <v>1002.7155329930041</v>
      </c>
      <c r="D73" s="77">
        <v>0.13267448194563999</v>
      </c>
      <c r="E73" s="77">
        <v>63.881169568888168</v>
      </c>
      <c r="F73" s="77">
        <f t="shared" si="6"/>
        <v>2074984.4050381605</v>
      </c>
      <c r="G73" s="77">
        <v>26.728168192933722</v>
      </c>
      <c r="H73" s="77"/>
      <c r="I73" s="77"/>
      <c r="J73" s="77">
        <v>1.2540372930930406</v>
      </c>
      <c r="K73" s="77">
        <v>181.4212</v>
      </c>
      <c r="L73" s="77">
        <v>0.20571754894509381</v>
      </c>
      <c r="M73" s="77">
        <v>0.78661519963248216</v>
      </c>
      <c r="N73" s="77">
        <f t="shared" si="5"/>
        <v>282814.79132367473</v>
      </c>
      <c r="O73" s="77">
        <v>66.116017897500967</v>
      </c>
      <c r="P73" s="77"/>
      <c r="Q73" s="77">
        <v>1.5616828827116658</v>
      </c>
      <c r="R73" s="77">
        <v>358.65339999999998</v>
      </c>
      <c r="S73" s="77">
        <v>0.34119149827608375</v>
      </c>
      <c r="T73" s="77">
        <v>1.6058380000000001</v>
      </c>
      <c r="U73" s="77">
        <f t="shared" si="2"/>
        <v>443748.37644349429</v>
      </c>
      <c r="V73" s="77">
        <v>146.91029228944268</v>
      </c>
      <c r="W73" s="77"/>
      <c r="X73" s="77"/>
      <c r="Y73" s="77"/>
      <c r="Z73" s="77"/>
      <c r="AA73" s="77"/>
      <c r="AB73" s="77"/>
      <c r="AC73" s="77"/>
      <c r="AD73" s="77"/>
      <c r="AE73" s="77">
        <f>'DN300 PN10_Center III'!AF42</f>
        <v>0.78440064249076868</v>
      </c>
      <c r="AF73" s="77">
        <f>'DN300 PN10_Center III'!AG42</f>
        <v>180.14410000000001</v>
      </c>
      <c r="AG73" s="77">
        <f>'DN300 PN10_Center III'!AL42</f>
        <v>1.9560795255941796</v>
      </c>
      <c r="AH73" s="77">
        <f>'DN300 PN10_Center III'!AI42</f>
        <v>2.3226309999999999</v>
      </c>
      <c r="AI73" s="76">
        <f t="shared" si="3"/>
        <v>222885.52653027824</v>
      </c>
      <c r="AJ73" s="77">
        <f>'DN300 PN10_Center III'!AM42</f>
        <v>462.96270207334874</v>
      </c>
    </row>
    <row r="74" spans="1:43" s="76" customFormat="1" x14ac:dyDescent="0.25">
      <c r="A74" s="79" t="s">
        <v>78</v>
      </c>
      <c r="B74" s="77">
        <v>15.152809751205703</v>
      </c>
      <c r="C74" s="77">
        <v>1244.0124694033982</v>
      </c>
      <c r="D74" s="77">
        <v>0.13290574402331656</v>
      </c>
      <c r="E74" s="77">
        <v>98.49704266746113</v>
      </c>
      <c r="F74" s="77">
        <f t="shared" si="6"/>
        <v>2574315.8341031424</v>
      </c>
      <c r="G74" s="77">
        <v>26.801802202436459</v>
      </c>
      <c r="H74" s="77"/>
      <c r="I74" s="77"/>
      <c r="J74" s="77">
        <v>1.8530797982826772</v>
      </c>
      <c r="K74" s="77">
        <v>268.08449999999999</v>
      </c>
      <c r="L74" s="77">
        <v>0.25381076688018106</v>
      </c>
      <c r="M74" s="77">
        <v>2.1191825699913522</v>
      </c>
      <c r="N74" s="77">
        <f t="shared" si="5"/>
        <v>417912.91163663164</v>
      </c>
      <c r="O74" s="77">
        <v>85.158856072133673</v>
      </c>
      <c r="P74" s="77"/>
      <c r="Q74" s="77">
        <v>2.3839441245029787</v>
      </c>
      <c r="R74" s="77">
        <v>547.49249999999995</v>
      </c>
      <c r="S74" s="77">
        <v>0.3314723037188228</v>
      </c>
      <c r="T74" s="77">
        <v>3.6354419999999998</v>
      </c>
      <c r="U74" s="77">
        <f t="shared" ref="U74:U118" si="7">Q74*285/1000/0.000001003</f>
        <v>677391.89978399698</v>
      </c>
      <c r="V74" s="77">
        <v>142.75570118613965</v>
      </c>
      <c r="W74" s="77"/>
      <c r="X74" s="77"/>
      <c r="Y74" s="77"/>
      <c r="Z74" s="77"/>
      <c r="AA74" s="77"/>
      <c r="AB74" s="77"/>
      <c r="AC74" s="77"/>
      <c r="AD74" s="77"/>
      <c r="AE74" s="77">
        <f>'DN300 PN10_Center III'!AF43</f>
        <v>1.1833041839308882</v>
      </c>
      <c r="AF74" s="77">
        <f>'DN300 PN10_Center III'!AG43</f>
        <v>271.75560000000002</v>
      </c>
      <c r="AG74" s="77">
        <f>'DN300 PN10_Center III'!AL43</f>
        <v>0.93149128803696613</v>
      </c>
      <c r="AH74" s="77">
        <f>'DN300 PN10_Center III'!AI43</f>
        <v>2.5170360000000001</v>
      </c>
      <c r="AI74" s="76">
        <f t="shared" si="3"/>
        <v>336232.99343998323</v>
      </c>
      <c r="AJ74" s="77">
        <f>'DN300 PN10_Center III'!AM43</f>
        <v>319.87915098841256</v>
      </c>
    </row>
    <row r="75" spans="1:43" s="76" customFormat="1" x14ac:dyDescent="0.25">
      <c r="A75" s="79" t="s">
        <v>78</v>
      </c>
      <c r="B75" s="77"/>
      <c r="C75" s="77"/>
      <c r="D75" s="77"/>
      <c r="E75" s="77"/>
      <c r="F75" s="77"/>
      <c r="G75" s="77"/>
      <c r="H75" s="77"/>
      <c r="I75" s="77"/>
      <c r="J75" s="77">
        <v>1.8663679988471209</v>
      </c>
      <c r="K75" s="77">
        <v>270.00689999999997</v>
      </c>
      <c r="L75" s="77">
        <v>0.25137205492088599</v>
      </c>
      <c r="M75" s="77">
        <v>2.1290293231401649</v>
      </c>
      <c r="N75" s="77">
        <f t="shared" si="5"/>
        <v>420909.71220261091</v>
      </c>
      <c r="O75" s="77">
        <v>84.222318121869634</v>
      </c>
      <c r="P75" s="77"/>
      <c r="Q75" s="77">
        <v>2.3806413913725062</v>
      </c>
      <c r="R75" s="77">
        <v>546.73400000000004</v>
      </c>
      <c r="S75" s="77">
        <v>0.33305041979270256</v>
      </c>
      <c r="T75" s="77">
        <v>3.642636</v>
      </c>
      <c r="U75" s="77">
        <f t="shared" si="7"/>
        <v>676453.43623246695</v>
      </c>
      <c r="V75" s="77">
        <v>143.43443621577484</v>
      </c>
      <c r="W75" s="77"/>
      <c r="X75" s="77"/>
      <c r="Y75" s="77"/>
      <c r="Z75" s="77"/>
      <c r="AA75" s="77"/>
      <c r="AB75" s="77"/>
      <c r="AC75" s="77"/>
      <c r="AD75" s="77"/>
      <c r="AE75" s="77">
        <f>'DN300 PN10_Center III'!AF44</f>
        <v>1.1833041839308882</v>
      </c>
      <c r="AF75" s="77">
        <f>'DN300 PN10_Center III'!AG44</f>
        <v>271.75560000000002</v>
      </c>
      <c r="AG75" s="77">
        <f>'DN300 PN10_Center III'!AL44</f>
        <v>0.93149128803696613</v>
      </c>
      <c r="AH75" s="77">
        <f>'DN300 PN10_Center III'!AI44</f>
        <v>2.5170360000000001</v>
      </c>
      <c r="AI75" s="76">
        <f t="shared" ref="AI75:AI126" si="8">AE75*285/1000/0.000001003</f>
        <v>336232.99343998323</v>
      </c>
      <c r="AJ75" s="77">
        <f>'DN300 PN10_Center III'!AM44</f>
        <v>319.87915098841256</v>
      </c>
    </row>
    <row r="76" spans="1:43" s="76" customFormat="1" x14ac:dyDescent="0.25">
      <c r="A76" s="79" t="s">
        <v>78</v>
      </c>
      <c r="B76" s="77"/>
      <c r="C76" s="77"/>
      <c r="D76" s="77"/>
      <c r="E76" s="77"/>
      <c r="F76" s="77"/>
      <c r="G76" s="77"/>
      <c r="H76" s="77"/>
      <c r="I76" s="77"/>
      <c r="J76" s="77">
        <v>2.4997950363337664</v>
      </c>
      <c r="K76" s="77">
        <v>361.64460000000003</v>
      </c>
      <c r="L76" s="77">
        <v>0.25587726546749767</v>
      </c>
      <c r="M76" s="77">
        <v>3.8878597732759115</v>
      </c>
      <c r="N76" s="77">
        <f t="shared" si="5"/>
        <v>563762.35016819346</v>
      </c>
      <c r="O76" s="77">
        <v>85.949940540724981</v>
      </c>
      <c r="P76" s="77"/>
      <c r="Q76" s="77">
        <v>3.0336124141706113</v>
      </c>
      <c r="R76" s="77">
        <v>696.69420000000002</v>
      </c>
      <c r="S76" s="77">
        <v>0.33778717690313309</v>
      </c>
      <c r="T76" s="77">
        <v>5.9990319383287565</v>
      </c>
      <c r="U76" s="77">
        <f t="shared" si="7"/>
        <v>861993.55736652471</v>
      </c>
      <c r="V76" s="77">
        <v>145.46199896994924</v>
      </c>
      <c r="W76" s="77"/>
      <c r="X76" s="77"/>
      <c r="Y76" s="77"/>
      <c r="Z76" s="77"/>
      <c r="AA76" s="77"/>
      <c r="AB76" s="77"/>
      <c r="AC76" s="77"/>
      <c r="AD76" s="77"/>
      <c r="AE76" s="77">
        <f>'DN300 PN10_Center III'!AF45</f>
        <v>1.5621082973812075</v>
      </c>
      <c r="AF76" s="77">
        <f>'DN300 PN10_Center III'!AG45</f>
        <v>358.75110000000001</v>
      </c>
      <c r="AG76" s="77">
        <f>'DN300 PN10_Center III'!AL45</f>
        <v>0.59342377025151927</v>
      </c>
      <c r="AH76" s="77">
        <f>'DN300 PN10_Center III'!AI45</f>
        <v>2.7945060000000002</v>
      </c>
      <c r="AI76" s="76">
        <f t="shared" si="8"/>
        <v>443869.25698269607</v>
      </c>
      <c r="AJ76" s="77">
        <f>'DN300 PN10_Center III'!AM45</f>
        <v>236.58247145066085</v>
      </c>
    </row>
    <row r="77" spans="1:43" s="76" customFormat="1" x14ac:dyDescent="0.25">
      <c r="A77" s="79" t="s">
        <v>78</v>
      </c>
      <c r="B77" s="77"/>
      <c r="C77" s="77"/>
      <c r="D77" s="77"/>
      <c r="E77" s="77"/>
      <c r="F77" s="77"/>
      <c r="G77" s="77"/>
      <c r="H77" s="77"/>
      <c r="I77" s="77"/>
      <c r="J77" s="77">
        <v>2.5119834903783373</v>
      </c>
      <c r="K77" s="77">
        <v>363.40789999999998</v>
      </c>
      <c r="L77" s="77">
        <v>0.25368001986615019</v>
      </c>
      <c r="M77" s="77">
        <v>3.8921530845012553</v>
      </c>
      <c r="N77" s="77">
        <f t="shared" si="5"/>
        <v>566511.13212719827</v>
      </c>
      <c r="O77" s="77">
        <v>85.108726706687492</v>
      </c>
      <c r="P77" s="77"/>
      <c r="Q77" s="77">
        <v>3.0394236569338671</v>
      </c>
      <c r="R77" s="77">
        <v>698.02880000000005</v>
      </c>
      <c r="S77" s="77">
        <v>0.33997724280428832</v>
      </c>
      <c r="T77" s="77">
        <v>6.0610819468919832</v>
      </c>
      <c r="U77" s="77">
        <f t="shared" si="7"/>
        <v>863644.80780274386</v>
      </c>
      <c r="V77" s="77">
        <v>146.39456706593845</v>
      </c>
      <c r="W77" s="77"/>
      <c r="X77" s="77"/>
      <c r="Y77" s="77"/>
      <c r="Z77" s="77"/>
      <c r="AA77" s="77"/>
      <c r="AB77" s="77"/>
      <c r="AC77" s="77"/>
      <c r="AD77" s="77"/>
      <c r="AE77" s="77">
        <f>'DN300 PN10_Center III'!AF46</f>
        <v>1.5621082973812075</v>
      </c>
      <c r="AF77" s="77">
        <f>'DN300 PN10_Center III'!AG46</f>
        <v>358.75110000000001</v>
      </c>
      <c r="AG77" s="77">
        <f>'DN300 PN10_Center III'!AL46</f>
        <v>0.59342377025151927</v>
      </c>
      <c r="AH77" s="77">
        <f>'DN300 PN10_Center III'!AI46</f>
        <v>2.7945060000000002</v>
      </c>
      <c r="AI77" s="76">
        <f t="shared" si="8"/>
        <v>443869.25698269607</v>
      </c>
      <c r="AJ77" s="77">
        <f>'DN300 PN10_Center III'!AM46</f>
        <v>236.58247145066085</v>
      </c>
    </row>
    <row r="78" spans="1:43" s="76" customFormat="1" x14ac:dyDescent="0.25">
      <c r="A78" s="79" t="s">
        <v>78</v>
      </c>
      <c r="B78" s="77"/>
      <c r="C78" s="77"/>
      <c r="D78" s="77"/>
      <c r="E78" s="77"/>
      <c r="F78" s="77"/>
      <c r="G78" s="77"/>
      <c r="H78" s="77"/>
      <c r="I78" s="77"/>
      <c r="J78" s="77">
        <v>3.7769539643040768</v>
      </c>
      <c r="K78" s="77">
        <v>546.41079999999999</v>
      </c>
      <c r="L78" s="77">
        <v>0.25305872025343656</v>
      </c>
      <c r="M78" s="77">
        <v>8.7775796528124328</v>
      </c>
      <c r="N78" s="77">
        <f t="shared" si="5"/>
        <v>851791.61188991251</v>
      </c>
      <c r="O78" s="77">
        <v>84.870389794694219</v>
      </c>
      <c r="P78" s="77"/>
      <c r="Q78" s="77">
        <v>3.8640910824139065</v>
      </c>
      <c r="R78" s="77">
        <v>887.42049999999995</v>
      </c>
      <c r="S78" s="77">
        <v>0.33656000559000104</v>
      </c>
      <c r="T78" s="77">
        <v>9.697840686788501</v>
      </c>
      <c r="U78" s="77">
        <f t="shared" si="7"/>
        <v>1097972.0423608809</v>
      </c>
      <c r="V78" s="77">
        <v>144.93809974481653</v>
      </c>
      <c r="W78" s="77"/>
      <c r="X78" s="77"/>
      <c r="Y78" s="77"/>
      <c r="Z78" s="77"/>
      <c r="AA78" s="77"/>
      <c r="AB78" s="77"/>
      <c r="AC78" s="77"/>
      <c r="AD78" s="77"/>
      <c r="AE78" s="77">
        <f>'DN300 PN10_Center III'!AF47</f>
        <v>2.35849805707889</v>
      </c>
      <c r="AF78" s="77">
        <f>'DN300 PN10_Center III'!AG47</f>
        <v>541.64859999999999</v>
      </c>
      <c r="AG78" s="77">
        <f>'DN300 PN10_Center III'!AL47</f>
        <v>0.33631602355786966</v>
      </c>
      <c r="AH78" s="77">
        <f>'DN300 PN10_Center III'!AI47</f>
        <v>3.6102430000000001</v>
      </c>
      <c r="AI78" s="76">
        <f t="shared" si="8"/>
        <v>670161.46188183816</v>
      </c>
      <c r="AJ78" s="77">
        <f>'DN300 PN10_Center III'!AM47</f>
        <v>144.83382424621223</v>
      </c>
    </row>
    <row r="79" spans="1:43" s="76" customFormat="1" x14ac:dyDescent="0.25">
      <c r="A79" s="79" t="s">
        <v>78</v>
      </c>
      <c r="B79" s="77"/>
      <c r="C79" s="77"/>
      <c r="D79" s="77"/>
      <c r="E79" s="77"/>
      <c r="F79" s="77"/>
      <c r="G79" s="77"/>
      <c r="H79" s="77"/>
      <c r="I79" s="77"/>
      <c r="J79" s="77">
        <v>3.7759959198813595</v>
      </c>
      <c r="K79" s="77">
        <v>546.2722</v>
      </c>
      <c r="L79" s="77">
        <v>0.25365692626578284</v>
      </c>
      <c r="M79" s="77">
        <v>8.7938660712053096</v>
      </c>
      <c r="N79" s="77">
        <f t="shared" si="5"/>
        <v>851575.55042588583</v>
      </c>
      <c r="O79" s="77">
        <v>85.099871491875163</v>
      </c>
      <c r="P79" s="77"/>
      <c r="Q79" s="77">
        <v>3.863697018671906</v>
      </c>
      <c r="R79" s="77">
        <v>887.33</v>
      </c>
      <c r="S79" s="77">
        <v>0.33599731403874822</v>
      </c>
      <c r="T79" s="77">
        <v>9.6796523742536067</v>
      </c>
      <c r="U79" s="77">
        <f t="shared" si="7"/>
        <v>1097860.0701111597</v>
      </c>
      <c r="V79" s="77">
        <v>144.69755313259074</v>
      </c>
      <c r="W79" s="77"/>
      <c r="X79" s="77"/>
      <c r="Y79" s="77"/>
      <c r="Z79" s="77"/>
      <c r="AA79" s="77"/>
      <c r="AB79" s="77"/>
      <c r="AC79" s="77"/>
      <c r="AD79" s="77"/>
      <c r="AE79" s="77">
        <f>'DN300 PN10_Center III'!AF48</f>
        <v>2.35849805707889</v>
      </c>
      <c r="AF79" s="77">
        <f>'DN300 PN10_Center III'!AG48</f>
        <v>541.64859999999999</v>
      </c>
      <c r="AG79" s="77">
        <f>'DN300 PN10_Center III'!AL48</f>
        <v>0.33631602355786966</v>
      </c>
      <c r="AH79" s="77">
        <f>'DN300 PN10_Center III'!AI48</f>
        <v>3.6102430000000001</v>
      </c>
      <c r="AI79" s="76">
        <f t="shared" si="8"/>
        <v>670161.46188183816</v>
      </c>
      <c r="AJ79" s="77">
        <f>'DN300 PN10_Center III'!AM48</f>
        <v>144.83382424621223</v>
      </c>
    </row>
    <row r="80" spans="1:43" s="76" customFormat="1" x14ac:dyDescent="0.25">
      <c r="A80" s="79" t="s">
        <v>78</v>
      </c>
      <c r="B80" s="77"/>
      <c r="C80" s="77"/>
      <c r="D80" s="77"/>
      <c r="E80" s="77"/>
      <c r="F80" s="77"/>
      <c r="G80" s="77"/>
      <c r="H80" s="77"/>
      <c r="I80" s="77"/>
      <c r="J80" s="77"/>
      <c r="K80" s="77"/>
      <c r="L80" s="77"/>
      <c r="M80" s="77"/>
      <c r="N80" s="77"/>
      <c r="O80" s="77"/>
      <c r="P80" s="77"/>
      <c r="Q80" s="77"/>
      <c r="R80" s="77"/>
      <c r="S80" s="77"/>
      <c r="T80" s="77"/>
      <c r="U80" s="77"/>
      <c r="V80" s="77"/>
      <c r="W80" s="77"/>
      <c r="X80" s="77"/>
      <c r="Y80" s="77"/>
      <c r="Z80" s="77"/>
      <c r="AA80" s="77"/>
      <c r="AB80" s="77"/>
      <c r="AC80" s="77"/>
      <c r="AD80" s="77"/>
      <c r="AE80" s="77">
        <f>'DN300 PN10_Center III'!AF49</f>
        <v>3.0271785071520387</v>
      </c>
      <c r="AF80" s="77">
        <f>'DN300 PN10_Center III'!AG49</f>
        <v>695.21659999999997</v>
      </c>
      <c r="AG80" s="77">
        <f>'DN300 PN10_Center III'!AL49</f>
        <v>0.25987137264649729</v>
      </c>
      <c r="AH80" s="77">
        <f>'DN300 PN10_Center III'!AI49</f>
        <v>4.595707</v>
      </c>
      <c r="AI80" s="76">
        <f t="shared" si="8"/>
        <v>860165.37840312161</v>
      </c>
      <c r="AJ80" s="77">
        <f>'DN300 PN10_Center III'!AM49</f>
        <v>110.21057332239478</v>
      </c>
      <c r="AL80" s="76">
        <v>0.62867374270380849</v>
      </c>
      <c r="AM80" s="76">
        <v>90.950042265891469</v>
      </c>
      <c r="AN80" s="76">
        <v>2.4273634342018369</v>
      </c>
      <c r="AO80" s="76">
        <v>2.3326820000000001</v>
      </c>
      <c r="AP80" s="76">
        <f t="shared" si="4"/>
        <v>141780.6586237303</v>
      </c>
      <c r="AQ80" s="76">
        <v>399.73302062930776</v>
      </c>
    </row>
    <row r="81" spans="1:43" s="76" customFormat="1" x14ac:dyDescent="0.25">
      <c r="A81" s="79" t="s">
        <v>78</v>
      </c>
      <c r="B81" s="77"/>
      <c r="C81" s="77"/>
      <c r="D81" s="77"/>
      <c r="E81" s="77"/>
      <c r="F81" s="77"/>
      <c r="G81" s="77"/>
      <c r="H81" s="77"/>
      <c r="I81" s="77"/>
      <c r="J81" s="77"/>
      <c r="K81" s="77"/>
      <c r="L81" s="77"/>
      <c r="M81" s="77"/>
      <c r="N81" s="77"/>
      <c r="O81" s="77"/>
      <c r="P81" s="77"/>
      <c r="Q81" s="77"/>
      <c r="R81" s="77"/>
      <c r="S81" s="77"/>
      <c r="T81" s="77"/>
      <c r="U81" s="77"/>
      <c r="V81" s="77"/>
      <c r="W81" s="77"/>
      <c r="X81" s="77"/>
      <c r="Y81" s="77"/>
      <c r="Z81" s="77"/>
      <c r="AA81" s="77"/>
      <c r="AB81" s="77"/>
      <c r="AC81" s="77"/>
      <c r="AD81" s="77"/>
      <c r="AE81" s="77">
        <f>'DN300 PN10_Center III'!AF50</f>
        <v>3.0271785071520387</v>
      </c>
      <c r="AF81" s="77">
        <f>'DN300 PN10_Center III'!AG50</f>
        <v>695.21659999999997</v>
      </c>
      <c r="AG81" s="77">
        <f>'DN300 PN10_Center III'!AL50</f>
        <v>0.25987137264649729</v>
      </c>
      <c r="AH81" s="77">
        <f>'DN300 PN10_Center III'!AI50</f>
        <v>4.595707</v>
      </c>
      <c r="AI81" s="76">
        <f t="shared" si="8"/>
        <v>860165.37840312161</v>
      </c>
      <c r="AJ81" s="77">
        <f>'DN300 PN10_Center III'!AM50</f>
        <v>110.21057332239478</v>
      </c>
      <c r="AL81" s="76">
        <v>1.2091033401365847</v>
      </c>
      <c r="AM81" s="76">
        <v>174.92061846944821</v>
      </c>
      <c r="AN81" s="76">
        <v>0.76488893871236807</v>
      </c>
      <c r="AO81" s="76">
        <v>2.7189130000000001</v>
      </c>
      <c r="AP81" s="76">
        <f t="shared" si="4"/>
        <v>272681.13214246801</v>
      </c>
      <c r="AQ81" s="76">
        <v>224.38347688301192</v>
      </c>
    </row>
    <row r="82" spans="1:43" s="76" customFormat="1" x14ac:dyDescent="0.25">
      <c r="A82" s="79" t="s">
        <v>78</v>
      </c>
      <c r="B82" s="77"/>
      <c r="C82" s="77"/>
      <c r="D82" s="77"/>
      <c r="E82" s="77"/>
      <c r="F82" s="77"/>
      <c r="G82" s="77"/>
      <c r="H82" s="77"/>
      <c r="I82" s="77"/>
      <c r="J82" s="77"/>
      <c r="K82" s="77"/>
      <c r="L82" s="77"/>
      <c r="M82" s="77"/>
      <c r="N82" s="77"/>
      <c r="O82" s="77"/>
      <c r="P82" s="77"/>
      <c r="Q82" s="77"/>
      <c r="R82" s="77"/>
      <c r="S82" s="77"/>
      <c r="T82" s="77"/>
      <c r="U82" s="77"/>
      <c r="V82" s="77"/>
      <c r="W82" s="77"/>
      <c r="X82" s="77"/>
      <c r="Y82" s="77"/>
      <c r="Z82" s="77"/>
      <c r="AA82" s="77"/>
      <c r="AB82" s="77"/>
      <c r="AC82" s="77"/>
      <c r="AD82" s="77"/>
      <c r="AE82" s="77">
        <f>'DN300 PN10_Center III'!AF51</f>
        <v>3.9348984585525848</v>
      </c>
      <c r="AF82" s="77">
        <f>'DN300 PN10_Center III'!AG51</f>
        <v>903.68200000000002</v>
      </c>
      <c r="AG82" s="77">
        <f>'DN300 PN10_Center III'!AL51</f>
        <v>0.2467497297365589</v>
      </c>
      <c r="AH82" s="77">
        <f>'DN300 PN10_Center III'!AI51</f>
        <v>7.3729548529397535</v>
      </c>
      <c r="AI82" s="76">
        <f t="shared" si="8"/>
        <v>1118091.7853314921</v>
      </c>
      <c r="AJ82" s="77">
        <f>'DN300 PN10_Center III'!AM51</f>
        <v>103.86804642164012</v>
      </c>
      <c r="AL82" s="76">
        <v>1.9146798651126145</v>
      </c>
      <c r="AM82" s="76">
        <v>276.99616323834215</v>
      </c>
      <c r="AN82" s="76">
        <v>0.44657196492867601</v>
      </c>
      <c r="AO82" s="76">
        <v>3.9806490000000001</v>
      </c>
      <c r="AP82" s="76">
        <f t="shared" si="4"/>
        <v>431805.16997853777</v>
      </c>
      <c r="AQ82" s="76">
        <v>149.44555455387354</v>
      </c>
    </row>
    <row r="83" spans="1:43" s="76" customFormat="1" x14ac:dyDescent="0.25">
      <c r="A83" s="79" t="s">
        <v>78</v>
      </c>
      <c r="B83" s="77"/>
      <c r="C83" s="77"/>
      <c r="D83" s="77"/>
      <c r="E83" s="77"/>
      <c r="F83" s="77"/>
      <c r="G83" s="77"/>
      <c r="H83" s="77"/>
      <c r="I83" s="77"/>
      <c r="J83" s="77"/>
      <c r="K83" s="77"/>
      <c r="L83" s="77"/>
      <c r="M83" s="77"/>
      <c r="N83" s="77"/>
      <c r="O83" s="77"/>
      <c r="P83" s="77"/>
      <c r="Q83" s="77"/>
      <c r="R83" s="77"/>
      <c r="S83" s="77"/>
      <c r="T83" s="77"/>
      <c r="U83" s="77"/>
      <c r="V83" s="77"/>
      <c r="W83" s="77"/>
      <c r="X83" s="77"/>
      <c r="Y83" s="77"/>
      <c r="Z83" s="77"/>
      <c r="AA83" s="77"/>
      <c r="AB83" s="77"/>
      <c r="AC83" s="77"/>
      <c r="AD83" s="77"/>
      <c r="AE83" s="77">
        <f>'DN300 PN10_Center III'!AF52</f>
        <v>3.9348984585525848</v>
      </c>
      <c r="AF83" s="77">
        <f>'DN300 PN10_Center III'!AG52</f>
        <v>903.68200000000002</v>
      </c>
      <c r="AG83" s="77">
        <f>'DN300 PN10_Center III'!AL52</f>
        <v>0.2467497297365589</v>
      </c>
      <c r="AH83" s="77">
        <f>'DN300 PN10_Center III'!AI52</f>
        <v>7.3729548529397535</v>
      </c>
      <c r="AI83" s="76">
        <f t="shared" si="8"/>
        <v>1118091.7853314921</v>
      </c>
      <c r="AJ83" s="77">
        <f>'DN300 PN10_Center III'!AM52</f>
        <v>103.86804642164012</v>
      </c>
      <c r="AL83" s="76">
        <v>2.5137577991214126</v>
      </c>
      <c r="AM83" s="76">
        <v>363.66458871501038</v>
      </c>
      <c r="AN83" s="76">
        <v>0.41573930654660846</v>
      </c>
      <c r="AO83" s="76">
        <v>6.387604795904485</v>
      </c>
      <c r="AP83" s="76">
        <f t="shared" si="4"/>
        <v>566911.28032030258</v>
      </c>
      <c r="AQ83" s="76">
        <v>140.35704549797364</v>
      </c>
    </row>
    <row r="84" spans="1:43" s="76" customFormat="1" x14ac:dyDescent="0.25">
      <c r="A84" s="79" t="s">
        <v>78</v>
      </c>
      <c r="B84" s="77"/>
      <c r="C84" s="77"/>
      <c r="D84" s="77"/>
      <c r="E84" s="77"/>
      <c r="F84" s="77"/>
      <c r="G84" s="77"/>
      <c r="H84" s="77"/>
      <c r="I84" s="77"/>
      <c r="J84" s="77"/>
      <c r="K84" s="77"/>
      <c r="L84" s="77"/>
      <c r="M84" s="77"/>
      <c r="N84" s="77"/>
      <c r="O84" s="77"/>
      <c r="P84" s="77"/>
      <c r="Q84" s="77"/>
      <c r="R84" s="77"/>
      <c r="S84" s="77"/>
      <c r="T84" s="77"/>
      <c r="U84" s="77"/>
      <c r="V84" s="77"/>
      <c r="W84" s="77"/>
      <c r="X84" s="77"/>
      <c r="Y84" s="77"/>
      <c r="Z84" s="77"/>
      <c r="AA84" s="77"/>
      <c r="AB84" s="77"/>
      <c r="AC84" s="77"/>
      <c r="AD84" s="77"/>
      <c r="AE84" s="77">
        <f>'DN300 PN10_Center III'!AF53</f>
        <v>5.1826174774107505</v>
      </c>
      <c r="AF84" s="77">
        <f>'DN300 PN10_Center III'!AG53</f>
        <v>1190.231</v>
      </c>
      <c r="AG84" s="77">
        <f>'DN300 PN10_Center III'!AL53</f>
        <v>0.19651467435145237</v>
      </c>
      <c r="AH84" s="77">
        <f>'DN300 PN10_Center III'!AI53</f>
        <v>10.186174834031661</v>
      </c>
      <c r="AI84" s="76">
        <f t="shared" si="8"/>
        <v>1472628.0967717487</v>
      </c>
      <c r="AJ84" s="77">
        <f>'DN300 PN10_Center III'!AM53</f>
        <v>78.549172013334385</v>
      </c>
      <c r="AL84" s="76">
        <v>3.7473749969875914</v>
      </c>
      <c r="AM84" s="76">
        <v>542.13161964796916</v>
      </c>
      <c r="AN84" s="76">
        <v>0.3045923200633584</v>
      </c>
      <c r="AO84" s="76">
        <v>10.400239665558715</v>
      </c>
      <c r="AP84" s="76">
        <f t="shared" si="4"/>
        <v>845120.86173339293</v>
      </c>
      <c r="AQ84" s="76">
        <v>103.92766777127989</v>
      </c>
    </row>
    <row r="85" spans="1:43" s="76" customFormat="1" x14ac:dyDescent="0.25">
      <c r="A85" s="79" t="s">
        <v>78</v>
      </c>
      <c r="B85" s="77"/>
      <c r="C85" s="77"/>
      <c r="D85" s="77"/>
      <c r="E85" s="77"/>
      <c r="F85" s="77"/>
      <c r="G85" s="77"/>
      <c r="H85" s="77"/>
      <c r="I85" s="77"/>
      <c r="J85" s="77"/>
      <c r="K85" s="77"/>
      <c r="L85" s="77"/>
      <c r="M85" s="77"/>
      <c r="N85" s="77"/>
      <c r="O85" s="77"/>
      <c r="P85" s="77"/>
      <c r="Q85" s="77"/>
      <c r="R85" s="77"/>
      <c r="S85" s="77"/>
      <c r="T85" s="77"/>
      <c r="U85" s="77"/>
      <c r="V85" s="77"/>
      <c r="W85" s="77"/>
      <c r="X85" s="77"/>
      <c r="Y85" s="77"/>
      <c r="Z85" s="77"/>
      <c r="AA85" s="77"/>
      <c r="AB85" s="77"/>
      <c r="AC85" s="77"/>
      <c r="AD85" s="77"/>
      <c r="AE85" s="77">
        <f>'DN300 PN10_Center III'!AF54</f>
        <v>5.1826174774107505</v>
      </c>
      <c r="AF85" s="77">
        <f>'DN300 PN10_Center III'!AG54</f>
        <v>1190.231</v>
      </c>
      <c r="AG85" s="77">
        <f>'DN300 PN10_Center III'!AL54</f>
        <v>0.19651467435145237</v>
      </c>
      <c r="AH85" s="77">
        <f>'DN300 PN10_Center III'!AI54</f>
        <v>10.186174834031661</v>
      </c>
      <c r="AI85" s="76">
        <f t="shared" si="8"/>
        <v>1472628.0967717487</v>
      </c>
      <c r="AJ85" s="77">
        <f>'DN300 PN10_Center III'!AM54</f>
        <v>78.549172013334385</v>
      </c>
      <c r="AL85" s="76">
        <v>4.8676290108585967</v>
      </c>
      <c r="AM85" s="76">
        <v>704.19843266914756</v>
      </c>
      <c r="AN85" s="76">
        <v>0.2659453041673957</v>
      </c>
      <c r="AO85" s="76">
        <v>15.321361401316517</v>
      </c>
      <c r="AP85" s="76">
        <f t="shared" ref="AP85:AP96" si="9">AL85*226.2/1000/0.000001003</f>
        <v>1097764.3890889478</v>
      </c>
      <c r="AQ85" s="76">
        <v>89.771032385297957</v>
      </c>
    </row>
    <row r="86" spans="1:43" s="76" customFormat="1" x14ac:dyDescent="0.25">
      <c r="A86" s="79" t="s">
        <v>78</v>
      </c>
      <c r="B86" s="77"/>
      <c r="C86" s="77"/>
      <c r="D86" s="77"/>
      <c r="E86" s="77"/>
      <c r="F86" s="77"/>
      <c r="G86" s="77"/>
      <c r="H86" s="77"/>
      <c r="I86" s="77"/>
      <c r="J86" s="77"/>
      <c r="K86" s="77"/>
      <c r="L86" s="77"/>
      <c r="M86" s="77"/>
      <c r="N86" s="77"/>
      <c r="O86" s="77"/>
      <c r="P86" s="77"/>
      <c r="Q86" s="77"/>
      <c r="R86" s="77"/>
      <c r="S86" s="77"/>
      <c r="T86" s="77"/>
      <c r="U86" s="77"/>
      <c r="V86" s="77"/>
      <c r="W86" s="77"/>
      <c r="X86" s="77"/>
      <c r="Y86" s="77"/>
      <c r="Z86" s="77"/>
      <c r="AA86" s="77"/>
      <c r="AB86" s="77"/>
      <c r="AC86" s="77"/>
      <c r="AD86" s="77"/>
      <c r="AE86" s="77">
        <f>'DN300 PN10_Center III'!AF55</f>
        <v>6.6407926602704368</v>
      </c>
      <c r="AF86" s="77">
        <f>'DN300 PN10_Center III'!AG55</f>
        <v>1525.1130000000001</v>
      </c>
      <c r="AG86" s="77">
        <f>'DN300 PN10_Center III'!AL55</f>
        <v>0.16983183908594143</v>
      </c>
      <c r="AH86" s="77">
        <f>'DN300 PN10_Center III'!AI55</f>
        <v>14.45362503305469</v>
      </c>
      <c r="AI86" s="76">
        <f t="shared" si="8"/>
        <v>1886965.0131376616</v>
      </c>
      <c r="AJ86" s="77">
        <f>'DN300 PN10_Center III'!AM55</f>
        <v>64.530976046389156</v>
      </c>
      <c r="AL86" s="76">
        <v>5.5324812564308949</v>
      </c>
      <c r="AM86" s="76">
        <v>800.38240812088236</v>
      </c>
      <c r="AN86" s="76">
        <v>0.25381252018136558</v>
      </c>
      <c r="AO86" s="76">
        <v>18.889611797082534</v>
      </c>
      <c r="AP86" s="76">
        <f t="shared" si="9"/>
        <v>1247704.147761384</v>
      </c>
      <c r="AQ86" s="76">
        <v>85.159528237984517</v>
      </c>
    </row>
    <row r="87" spans="1:43" s="76" customFormat="1" x14ac:dyDescent="0.25">
      <c r="A87" s="79" t="s">
        <v>78</v>
      </c>
      <c r="B87" s="77"/>
      <c r="C87" s="77"/>
      <c r="D87" s="77"/>
      <c r="E87" s="77"/>
      <c r="F87" s="77"/>
      <c r="G87" s="77"/>
      <c r="H87" s="77"/>
      <c r="I87" s="77"/>
      <c r="J87" s="77"/>
      <c r="K87" s="77"/>
      <c r="L87" s="77"/>
      <c r="M87" s="77"/>
      <c r="N87" s="77"/>
      <c r="O87" s="77"/>
      <c r="P87" s="77"/>
      <c r="Q87" s="77"/>
      <c r="R87" s="77"/>
      <c r="S87" s="77"/>
      <c r="T87" s="77"/>
      <c r="U87" s="77"/>
      <c r="V87" s="77"/>
      <c r="W87" s="77"/>
      <c r="X87" s="77"/>
      <c r="Y87" s="77"/>
      <c r="Z87" s="77"/>
      <c r="AA87" s="77"/>
      <c r="AB87" s="77"/>
      <c r="AC87" s="77"/>
      <c r="AD87" s="77"/>
      <c r="AE87" s="77">
        <f>'DN300 PN10_Center III'!AF56</f>
        <v>6.6407926602704368</v>
      </c>
      <c r="AF87" s="77">
        <f>'DN300 PN10_Center III'!AG56</f>
        <v>1525.1130000000001</v>
      </c>
      <c r="AG87" s="77">
        <f>'DN300 PN10_Center III'!AL56</f>
        <v>0.16983183908594143</v>
      </c>
      <c r="AH87" s="77">
        <f>'DN300 PN10_Center III'!AI56</f>
        <v>14.45362503305469</v>
      </c>
      <c r="AI87" s="76">
        <f t="shared" si="8"/>
        <v>1886965.0131376616</v>
      </c>
      <c r="AJ87" s="77">
        <f>'DN300 PN10_Center III'!AM56</f>
        <v>64.530976046389156</v>
      </c>
      <c r="AL87" s="76">
        <v>6.2362270639408877</v>
      </c>
      <c r="AM87" s="76">
        <v>902.19310354169181</v>
      </c>
      <c r="AN87" s="76">
        <v>0.24845468888907818</v>
      </c>
      <c r="AO87" s="76">
        <v>23.494225102926503</v>
      </c>
      <c r="AP87" s="76">
        <f t="shared" si="9"/>
        <v>1406415.3159156817</v>
      </c>
      <c r="AQ87" s="76">
        <v>83.097756804403488</v>
      </c>
    </row>
    <row r="88" spans="1:43" s="76" customFormat="1" x14ac:dyDescent="0.25">
      <c r="A88" s="79" t="s">
        <v>78</v>
      </c>
      <c r="B88" s="77"/>
      <c r="C88" s="77"/>
      <c r="D88" s="77"/>
      <c r="E88" s="77"/>
      <c r="F88" s="77"/>
      <c r="G88" s="77"/>
      <c r="H88" s="77"/>
      <c r="I88" s="77"/>
      <c r="J88" s="77"/>
      <c r="K88" s="77"/>
      <c r="L88" s="77"/>
      <c r="M88" s="77"/>
      <c r="N88" s="77"/>
      <c r="O88" s="77"/>
      <c r="P88" s="77"/>
      <c r="Q88" s="77"/>
      <c r="R88" s="77"/>
      <c r="S88" s="77"/>
      <c r="T88" s="77"/>
      <c r="U88" s="77"/>
      <c r="V88" s="77"/>
      <c r="W88" s="77"/>
      <c r="X88" s="77"/>
      <c r="Y88" s="77"/>
      <c r="Z88" s="77"/>
      <c r="AA88" s="77"/>
      <c r="AB88" s="77"/>
      <c r="AC88" s="77"/>
      <c r="AD88" s="77"/>
      <c r="AE88" s="77">
        <f>'DN300 PN10_Center III'!AF57</f>
        <v>7.5044889425314514</v>
      </c>
      <c r="AF88" s="77">
        <f>'DN300 PN10_Center III'!AG57</f>
        <v>1723.4680000000001</v>
      </c>
      <c r="AG88" s="77">
        <f>'DN300 PN10_Center III'!AL57</f>
        <v>0.15956711047500607</v>
      </c>
      <c r="AH88" s="77">
        <f>'DN300 PN10_Center III'!AI57</f>
        <v>17.342170601347259</v>
      </c>
      <c r="AI88" s="76">
        <f t="shared" si="8"/>
        <v>2132382.2020154176</v>
      </c>
      <c r="AJ88" s="77">
        <f>'DN300 PN10_Center III'!AM57</f>
        <v>59.067986961002987</v>
      </c>
      <c r="AL88" s="76">
        <v>8.3055485421478128</v>
      </c>
      <c r="AM88" s="76">
        <v>1201.5612226796134</v>
      </c>
      <c r="AN88" s="76">
        <v>0.226286170634238</v>
      </c>
      <c r="AO88" s="76">
        <v>37.954628389099788</v>
      </c>
      <c r="AP88" s="76">
        <f t="shared" si="9"/>
        <v>1873095.7928552693</v>
      </c>
      <c r="AQ88" s="76">
        <v>74.404924107061547</v>
      </c>
    </row>
    <row r="89" spans="1:43" x14ac:dyDescent="0.25">
      <c r="A89" s="44" t="s">
        <v>80</v>
      </c>
      <c r="B89" s="8"/>
      <c r="C89" s="8"/>
      <c r="D89" s="8"/>
      <c r="E89" s="8"/>
      <c r="F89" s="8"/>
      <c r="G89" s="8"/>
      <c r="H89" s="8"/>
      <c r="I89" s="8"/>
      <c r="J89" s="8">
        <v>0.62310773778801198</v>
      </c>
      <c r="K89" s="8">
        <v>90.144810000000007</v>
      </c>
      <c r="L89" s="8">
        <v>7.452666543714434E-2</v>
      </c>
      <c r="M89" s="8">
        <v>7.0357122247443657E-2</v>
      </c>
      <c r="N89" s="8">
        <f t="shared" si="5"/>
        <v>140525.39410533229</v>
      </c>
      <c r="O89" s="8">
        <v>12.335700237301966</v>
      </c>
      <c r="P89" s="8"/>
      <c r="Q89" s="8">
        <v>0.78050137087792937</v>
      </c>
      <c r="R89" s="8">
        <v>179.24860000000001</v>
      </c>
      <c r="S89" s="8">
        <v>0.27022134166231759</v>
      </c>
      <c r="T89" s="8">
        <v>0.31767630000000002</v>
      </c>
      <c r="U89" s="8">
        <f t="shared" si="7"/>
        <v>221777.55802613148</v>
      </c>
      <c r="V89" s="8">
        <v>115.13047907178594</v>
      </c>
      <c r="W89" s="8"/>
      <c r="X89" s="8">
        <v>1.1579430275388714</v>
      </c>
      <c r="Y89" s="8">
        <v>265.93120052132048</v>
      </c>
      <c r="Z89" s="46">
        <v>4.2850540428576556E-2</v>
      </c>
      <c r="AA89" s="8">
        <v>0.1108788</v>
      </c>
      <c r="AB89" s="8">
        <f t="shared" ref="AB89:AB118" si="10">X89*285/1000/0.000001003</f>
        <v>329026.68280017778</v>
      </c>
      <c r="AC89" s="8">
        <v>4.0516419937053358</v>
      </c>
      <c r="AD89" s="8"/>
      <c r="AE89" s="8">
        <f>'DN300 PN10_Center III'!B63</f>
        <v>0</v>
      </c>
      <c r="AF89" s="8">
        <f>'DN300 PN10_Center III'!C63</f>
        <v>0</v>
      </c>
      <c r="AG89" s="8" t="e">
        <f>'DN300 PN10_Center III'!H63</f>
        <v>#DIV/0!</v>
      </c>
      <c r="AH89">
        <f>'DN300 PN10_Center III'!E63</f>
        <v>0</v>
      </c>
      <c r="AI89">
        <f t="shared" si="8"/>
        <v>0</v>
      </c>
      <c r="AJ89" s="8" t="e">
        <f>'DN300 PN10_Center III'!I63</f>
        <v>#DIV/0!</v>
      </c>
      <c r="AL89">
        <v>9.2286226885942142</v>
      </c>
      <c r="AM89">
        <v>1335.1020832741453</v>
      </c>
      <c r="AN89">
        <v>0.22161560205117681</v>
      </c>
      <c r="AO89">
        <v>45.892762584852129</v>
      </c>
      <c r="AP89">
        <f t="shared" si="9"/>
        <v>2081270.640239293</v>
      </c>
      <c r="AQ89">
        <v>72.540992292741578</v>
      </c>
    </row>
    <row r="90" spans="1:43" x14ac:dyDescent="0.25">
      <c r="A90" s="44" t="s">
        <v>80</v>
      </c>
      <c r="B90" s="8"/>
      <c r="C90" s="8"/>
      <c r="D90" s="8"/>
      <c r="E90" s="8"/>
      <c r="F90" s="8"/>
      <c r="G90" s="8"/>
      <c r="H90" s="8"/>
      <c r="I90" s="8"/>
      <c r="J90" s="8">
        <v>0.62273004985686276</v>
      </c>
      <c r="K90" s="8">
        <v>90.090170000000001</v>
      </c>
      <c r="L90" s="8">
        <v>7.5184236399459606E-2</v>
      </c>
      <c r="M90" s="8">
        <v>7.0891885663057735E-2</v>
      </c>
      <c r="N90" s="8">
        <f t="shared" si="5"/>
        <v>140440.21662773914</v>
      </c>
      <c r="O90" s="8">
        <v>12.565818930284577</v>
      </c>
      <c r="P90" s="8"/>
      <c r="Q90" s="8">
        <v>0.78107221901689439</v>
      </c>
      <c r="R90" s="8">
        <v>179.37970000000001</v>
      </c>
      <c r="S90" s="8">
        <v>0.35156225752353276</v>
      </c>
      <c r="T90" s="8">
        <v>0.41390670000000002</v>
      </c>
      <c r="U90" s="8">
        <f t="shared" si="7"/>
        <v>221939.76313042364</v>
      </c>
      <c r="V90" s="8">
        <v>151.27677261215706</v>
      </c>
      <c r="W90" s="8"/>
      <c r="X90" s="8">
        <v>1.157294751289156</v>
      </c>
      <c r="Y90" s="8">
        <v>265.7823185148174</v>
      </c>
      <c r="Z90" s="46">
        <v>5.2579471544864087E-2</v>
      </c>
      <c r="AA90" s="8">
        <v>0.13590079999999999</v>
      </c>
      <c r="AB90" s="8">
        <f t="shared" si="10"/>
        <v>328842.4766873474</v>
      </c>
      <c r="AC90" s="8">
        <v>6.9585289558447005</v>
      </c>
      <c r="AD90" s="8"/>
      <c r="AE90" s="8">
        <f>'DN300 PN10_Center III'!B64</f>
        <v>0</v>
      </c>
      <c r="AF90" s="8">
        <f>'DN300 PN10_Center III'!C64</f>
        <v>0</v>
      </c>
      <c r="AG90" s="8" t="e">
        <f>'DN300 PN10_Center III'!H64</f>
        <v>#DIV/0!</v>
      </c>
      <c r="AH90">
        <f>'DN300 PN10_Center III'!E64</f>
        <v>0</v>
      </c>
      <c r="AI90">
        <f t="shared" si="8"/>
        <v>0</v>
      </c>
      <c r="AJ90" s="8" t="e">
        <f>'DN300 PN10_Center III'!I64</f>
        <v>#DIV/0!</v>
      </c>
      <c r="AL90">
        <v>0.63541854866859349</v>
      </c>
      <c r="AM90">
        <v>91.925811326858039</v>
      </c>
      <c r="AN90">
        <v>2.7148334908834677</v>
      </c>
      <c r="AO90">
        <v>2.6652200000000001</v>
      </c>
      <c r="AP90">
        <f t="shared" si="9"/>
        <v>143301.77039764289</v>
      </c>
      <c r="AQ90">
        <v>416.13711749055363</v>
      </c>
    </row>
    <row r="91" spans="1:43" x14ac:dyDescent="0.25">
      <c r="A91" s="44" t="s">
        <v>80</v>
      </c>
      <c r="B91" s="8"/>
      <c r="C91" s="8"/>
      <c r="D91" s="8"/>
      <c r="E91" s="8"/>
      <c r="F91" s="8"/>
      <c r="G91" s="8"/>
      <c r="H91" s="8"/>
      <c r="I91" s="8"/>
      <c r="J91" s="8">
        <v>1.2330197615510892</v>
      </c>
      <c r="K91" s="8">
        <v>178.38059999999999</v>
      </c>
      <c r="L91" s="8">
        <v>6.5576141556600409E-2</v>
      </c>
      <c r="M91" s="8">
        <v>0.24241306495867959</v>
      </c>
      <c r="N91" s="8">
        <f t="shared" si="5"/>
        <v>278074.84552627755</v>
      </c>
      <c r="O91" s="8">
        <v>9.3361367813044911</v>
      </c>
      <c r="P91" s="8"/>
      <c r="Q91" s="8">
        <v>1.1929676719156723</v>
      </c>
      <c r="R91" s="8">
        <v>273.97489999999999</v>
      </c>
      <c r="S91" s="8">
        <v>0.46909926240532673</v>
      </c>
      <c r="T91" s="8">
        <v>1.288368</v>
      </c>
      <c r="U91" s="8">
        <f t="shared" si="7"/>
        <v>338978.84994612826</v>
      </c>
      <c r="V91" s="8">
        <v>196.34586444722686</v>
      </c>
      <c r="W91" s="8"/>
      <c r="X91" s="8">
        <v>1.5769502209586332</v>
      </c>
      <c r="Y91" s="8">
        <v>362.15967059554947</v>
      </c>
      <c r="Z91" s="46">
        <v>6.8616355239455529E-2</v>
      </c>
      <c r="AA91" s="8">
        <v>0.32929219999999998</v>
      </c>
      <c r="AB91" s="8">
        <f t="shared" si="10"/>
        <v>448086.55331327068</v>
      </c>
      <c r="AC91" s="8">
        <v>13.009638841603438</v>
      </c>
      <c r="AD91" s="8"/>
      <c r="AE91" s="8">
        <f>'DN300 PN10_Center III'!B65</f>
        <v>0</v>
      </c>
      <c r="AF91" s="8">
        <f>'DN300 PN10_Center III'!C65</f>
        <v>0</v>
      </c>
      <c r="AG91" s="8" t="e">
        <f>'DN300 PN10_Center III'!H65</f>
        <v>#DIV/0!</v>
      </c>
      <c r="AH91">
        <f>'DN300 PN10_Center III'!E65</f>
        <v>0</v>
      </c>
      <c r="AI91">
        <f t="shared" si="8"/>
        <v>0</v>
      </c>
      <c r="AJ91" s="8" t="e">
        <f>'DN300 PN10_Center III'!I65</f>
        <v>#DIV/0!</v>
      </c>
      <c r="AL91">
        <v>1.2510092491332563</v>
      </c>
      <c r="AM91">
        <v>180.98313378628964</v>
      </c>
      <c r="AN91">
        <v>0.91805220877765137</v>
      </c>
      <c r="AO91">
        <v>3.4934820000000002</v>
      </c>
      <c r="AP91">
        <f t="shared" si="9"/>
        <v>282131.89646454889</v>
      </c>
      <c r="AQ91">
        <v>251.6839884530539</v>
      </c>
    </row>
    <row r="92" spans="1:43" x14ac:dyDescent="0.25">
      <c r="A92" s="44" t="s">
        <v>80</v>
      </c>
      <c r="B92" s="8"/>
      <c r="C92" s="8"/>
      <c r="D92" s="8"/>
      <c r="E92" s="8"/>
      <c r="F92" s="8"/>
      <c r="G92" s="8"/>
      <c r="H92" s="8"/>
      <c r="I92" s="8"/>
      <c r="J92" s="8">
        <v>1.232618157070859</v>
      </c>
      <c r="K92" s="8">
        <v>178.32249999999999</v>
      </c>
      <c r="L92" s="8">
        <v>6.7294875841774529E-2</v>
      </c>
      <c r="M92" s="8">
        <v>0.24860462660310112</v>
      </c>
      <c r="N92" s="8">
        <f t="shared" si="5"/>
        <v>277984.27430650877</v>
      </c>
      <c r="O92" s="8">
        <v>9.8915098002183548</v>
      </c>
      <c r="P92" s="8"/>
      <c r="Q92" s="8">
        <v>1.1918538431288892</v>
      </c>
      <c r="R92" s="8">
        <v>273.71910000000003</v>
      </c>
      <c r="S92" s="8">
        <v>0.42520464705854655</v>
      </c>
      <c r="T92" s="8">
        <v>1.1656329999999999</v>
      </c>
      <c r="U92" s="8">
        <f t="shared" si="7"/>
        <v>338662.35821708216</v>
      </c>
      <c r="V92" s="8">
        <v>180.41231696138945</v>
      </c>
      <c r="W92" s="8"/>
      <c r="X92" s="8">
        <v>1.5755265383954578</v>
      </c>
      <c r="Y92" s="8">
        <v>361.83271011115397</v>
      </c>
      <c r="Z92" s="46">
        <v>7.8437952137308989E-2</v>
      </c>
      <c r="AA92" s="8">
        <v>0.375747</v>
      </c>
      <c r="AB92" s="8">
        <f t="shared" si="10"/>
        <v>447682.01739053387</v>
      </c>
      <c r="AC92" s="8">
        <v>17.288780433031576</v>
      </c>
      <c r="AD92" s="8"/>
      <c r="AE92" s="8">
        <f>'DN300 PN10_Center III'!B66</f>
        <v>0</v>
      </c>
      <c r="AF92" s="8">
        <f>'DN300 PN10_Center III'!C66</f>
        <v>0</v>
      </c>
      <c r="AG92" s="8" t="e">
        <f>'DN300 PN10_Center III'!H66</f>
        <v>#DIV/0!</v>
      </c>
      <c r="AH92">
        <f>'DN300 PN10_Center III'!E66</f>
        <v>0</v>
      </c>
      <c r="AI92">
        <f t="shared" si="8"/>
        <v>0</v>
      </c>
      <c r="AJ92" s="8" t="e">
        <f>'DN300 PN10_Center III'!I66</f>
        <v>#DIV/0!</v>
      </c>
      <c r="AL92">
        <v>1.8733078528584599</v>
      </c>
      <c r="AM92">
        <v>271.01088660350564</v>
      </c>
      <c r="AN92">
        <v>0.74732832578410635</v>
      </c>
      <c r="AO92">
        <v>6.3767565916876903</v>
      </c>
      <c r="AP92">
        <f t="shared" si="9"/>
        <v>422474.8118809408</v>
      </c>
      <c r="AQ92">
        <v>220.95964935417621</v>
      </c>
    </row>
    <row r="93" spans="1:43" x14ac:dyDescent="0.25">
      <c r="A93" s="44" t="s">
        <v>80</v>
      </c>
      <c r="B93" s="8"/>
      <c r="C93" s="8"/>
      <c r="D93" s="8"/>
      <c r="E93" s="8"/>
      <c r="F93" s="8"/>
      <c r="G93" s="8"/>
      <c r="H93" s="8"/>
      <c r="I93" s="8"/>
      <c r="J93" s="8">
        <v>1.8750429321119866</v>
      </c>
      <c r="K93" s="8">
        <v>271.26190000000003</v>
      </c>
      <c r="L93" s="8">
        <v>7.9948835155833328E-2</v>
      </c>
      <c r="M93" s="8">
        <v>0.68344671673787261</v>
      </c>
      <c r="N93" s="8">
        <f t="shared" si="5"/>
        <v>422866.11290501629</v>
      </c>
      <c r="O93" s="8">
        <v>14.267957380112628</v>
      </c>
      <c r="P93" s="8"/>
      <c r="Q93" s="8">
        <v>1.5806375664166921</v>
      </c>
      <c r="R93" s="8">
        <v>363.00650000000002</v>
      </c>
      <c r="S93" s="8">
        <v>0.26230348456339003</v>
      </c>
      <c r="T93" s="8">
        <v>1.264697</v>
      </c>
      <c r="U93" s="8">
        <f t="shared" si="7"/>
        <v>449134.30351820268</v>
      </c>
      <c r="V93" s="8">
        <v>111.37328043656208</v>
      </c>
      <c r="W93" s="8"/>
      <c r="X93" s="8">
        <v>2.3644251829362211</v>
      </c>
      <c r="Y93" s="8">
        <v>543.00981351171401</v>
      </c>
      <c r="Z93" s="46">
        <v>5.1815675067720966E-2</v>
      </c>
      <c r="AA93" s="8">
        <v>0.55902359999999995</v>
      </c>
      <c r="AB93" s="8">
        <f t="shared" si="10"/>
        <v>671845.64021617454</v>
      </c>
      <c r="AC93" s="8">
        <v>6.7066405131922702</v>
      </c>
      <c r="AD93" s="8"/>
      <c r="AE93" s="8">
        <f>'DN300 PN10_Center III'!B67</f>
        <v>0</v>
      </c>
      <c r="AF93" s="8">
        <f>'DN300 PN10_Center III'!C67</f>
        <v>0</v>
      </c>
      <c r="AG93" s="8" t="e">
        <f>'DN300 PN10_Center III'!H67</f>
        <v>#DIV/0!</v>
      </c>
      <c r="AH93">
        <f>'DN300 PN10_Center III'!E67</f>
        <v>0</v>
      </c>
      <c r="AI93">
        <f t="shared" si="8"/>
        <v>0</v>
      </c>
      <c r="AJ93" s="8" t="e">
        <f>'DN300 PN10_Center III'!I67</f>
        <v>#DIV/0!</v>
      </c>
      <c r="AL93">
        <v>2.4878847406727935</v>
      </c>
      <c r="AM93">
        <v>359.92154109013381</v>
      </c>
      <c r="AN93">
        <v>0.56859135369761193</v>
      </c>
      <c r="AO93">
        <v>8.55718365523785</v>
      </c>
      <c r="AP93">
        <f t="shared" si="9"/>
        <v>561076.29944186029</v>
      </c>
      <c r="AQ93">
        <v>181.80603438778741</v>
      </c>
    </row>
    <row r="94" spans="1:43" x14ac:dyDescent="0.25">
      <c r="A94" s="44" t="s">
        <v>80</v>
      </c>
      <c r="B94" s="8"/>
      <c r="C94" s="8"/>
      <c r="D94" s="8"/>
      <c r="E94" s="8"/>
      <c r="F94" s="8"/>
      <c r="G94" s="8"/>
      <c r="H94" s="8"/>
      <c r="I94" s="8"/>
      <c r="J94" s="8">
        <v>1.8660804472743575</v>
      </c>
      <c r="K94" s="8">
        <v>269.96530000000001</v>
      </c>
      <c r="L94" s="8">
        <v>8.1726941647672052E-2</v>
      </c>
      <c r="M94" s="8">
        <v>0.69198401280945088</v>
      </c>
      <c r="N94" s="8">
        <f t="shared" si="5"/>
        <v>420844.86258570262</v>
      </c>
      <c r="O94" s="8">
        <v>14.917776828614699</v>
      </c>
      <c r="P94" s="8"/>
      <c r="Q94" s="8">
        <v>1.5836537869038096</v>
      </c>
      <c r="R94" s="8">
        <v>363.69920000000002</v>
      </c>
      <c r="S94" s="8">
        <v>0.25841968779215468</v>
      </c>
      <c r="T94" s="8">
        <v>1.250731</v>
      </c>
      <c r="U94" s="8">
        <f t="shared" si="7"/>
        <v>449991.35520197981</v>
      </c>
      <c r="V94" s="8">
        <v>109.51464734140012</v>
      </c>
      <c r="W94" s="8"/>
      <c r="X94" s="8">
        <v>2.3665358902959373</v>
      </c>
      <c r="Y94" s="8">
        <v>543.49455492711127</v>
      </c>
      <c r="Z94" s="46">
        <v>5.3460395158102497E-2</v>
      </c>
      <c r="AA94" s="8">
        <v>0.57779820000000004</v>
      </c>
      <c r="AB94" s="8">
        <f t="shared" si="10"/>
        <v>672445.3925566721</v>
      </c>
      <c r="AC94" s="8">
        <v>7.253665245353524</v>
      </c>
      <c r="AD94" s="8"/>
      <c r="AE94" s="8">
        <f>'DN300 PN10_Center III'!B68</f>
        <v>0</v>
      </c>
      <c r="AF94" s="8">
        <f>'DN300 PN10_Center III'!C68</f>
        <v>0</v>
      </c>
      <c r="AG94" s="8" t="e">
        <f>'DN300 PN10_Center III'!H68</f>
        <v>#DIV/0!</v>
      </c>
      <c r="AH94">
        <f>'DN300 PN10_Center III'!E68</f>
        <v>0</v>
      </c>
      <c r="AI94">
        <f t="shared" si="8"/>
        <v>0</v>
      </c>
      <c r="AJ94" s="8" t="e">
        <f>'DN300 PN10_Center III'!I68</f>
        <v>#DIV/0!</v>
      </c>
      <c r="AL94">
        <v>3.7083528818544531</v>
      </c>
      <c r="AM94">
        <v>536.48630192657117</v>
      </c>
      <c r="AN94">
        <v>0.44608361630000554</v>
      </c>
      <c r="AO94">
        <v>14.915865905018304</v>
      </c>
      <c r="AP94">
        <f t="shared" si="9"/>
        <v>836320.46049399534</v>
      </c>
      <c r="AQ94">
        <v>149.30472845294045</v>
      </c>
    </row>
    <row r="95" spans="1:43" x14ac:dyDescent="0.25">
      <c r="A95" s="44" t="s">
        <v>80</v>
      </c>
      <c r="B95" s="8"/>
      <c r="C95" s="8"/>
      <c r="D95" s="8"/>
      <c r="E95" s="8"/>
      <c r="F95" s="8"/>
      <c r="G95" s="8"/>
      <c r="H95" s="8"/>
      <c r="I95" s="8"/>
      <c r="J95" s="8">
        <v>2.4988577288033156</v>
      </c>
      <c r="K95" s="8">
        <v>361.50900000000001</v>
      </c>
      <c r="L95" s="8">
        <v>9.0568369294139986E-2</v>
      </c>
      <c r="M95" s="8">
        <v>1.3750854860054635</v>
      </c>
      <c r="N95" s="8">
        <f t="shared" si="5"/>
        <v>563550.96535923227</v>
      </c>
      <c r="O95" s="8">
        <v>18.250112287666557</v>
      </c>
      <c r="P95" s="8"/>
      <c r="Q95" s="8">
        <v>2.3546244758094526</v>
      </c>
      <c r="R95" s="8">
        <v>540.75900000000001</v>
      </c>
      <c r="S95" s="8">
        <v>0.23373872665818007</v>
      </c>
      <c r="T95" s="8">
        <v>2.500874</v>
      </c>
      <c r="U95" s="8">
        <f t="shared" si="7"/>
        <v>669060.79322601599</v>
      </c>
      <c r="V95" s="8">
        <v>97.464456418696983</v>
      </c>
      <c r="W95" s="8"/>
      <c r="X95" s="8">
        <v>3.0302475583327926</v>
      </c>
      <c r="Y95" s="8">
        <v>695.92143300607097</v>
      </c>
      <c r="Z95" s="46">
        <v>4.5656210666073678E-2</v>
      </c>
      <c r="AA95" s="8">
        <v>0.80904730000000002</v>
      </c>
      <c r="AB95" s="8">
        <f t="shared" si="10"/>
        <v>861037.44179944752</v>
      </c>
      <c r="AC95" s="8">
        <v>4.8197429003994277</v>
      </c>
      <c r="AD95" s="8"/>
      <c r="AE95" s="8">
        <f>'DN300 PN10_Center III'!B69</f>
        <v>0</v>
      </c>
      <c r="AF95" s="8">
        <f>'DN300 PN10_Center III'!C69</f>
        <v>0</v>
      </c>
      <c r="AG95" s="8" t="e">
        <f>'DN300 PN10_Center III'!H69</f>
        <v>#DIV/0!</v>
      </c>
      <c r="AH95">
        <f>'DN300 PN10_Center III'!E69</f>
        <v>0</v>
      </c>
      <c r="AI95">
        <f t="shared" si="8"/>
        <v>0</v>
      </c>
      <c r="AJ95" s="8" t="e">
        <f>'DN300 PN10_Center III'!I69</f>
        <v>#DIV/0!</v>
      </c>
      <c r="AL95">
        <v>4.913570881866919</v>
      </c>
      <c r="AM95">
        <v>710.84482940270675</v>
      </c>
      <c r="AN95">
        <v>0.40078116447523376</v>
      </c>
      <c r="AO95">
        <v>23.527286582370735</v>
      </c>
      <c r="AP95">
        <f t="shared" si="9"/>
        <v>1108125.3574060788</v>
      </c>
      <c r="AQ95">
        <v>135.79873884889875</v>
      </c>
    </row>
    <row r="96" spans="1:43" x14ac:dyDescent="0.25">
      <c r="A96" s="44" t="s">
        <v>80</v>
      </c>
      <c r="B96" s="8"/>
      <c r="C96" s="8"/>
      <c r="D96" s="8"/>
      <c r="E96" s="8"/>
      <c r="F96" s="8"/>
      <c r="G96" s="8"/>
      <c r="H96" s="8"/>
      <c r="I96" s="8"/>
      <c r="J96" s="8">
        <v>2.5004828099272753</v>
      </c>
      <c r="K96" s="8">
        <v>361.7441</v>
      </c>
      <c r="L96" s="8">
        <v>8.9712576048825279E-2</v>
      </c>
      <c r="M96" s="8">
        <v>1.3638643037404041</v>
      </c>
      <c r="N96" s="8">
        <f t="shared" si="5"/>
        <v>563917.45922786603</v>
      </c>
      <c r="O96" s="8">
        <v>17.920904837419808</v>
      </c>
      <c r="P96" s="8"/>
      <c r="Q96" s="8">
        <v>2.352907141667516</v>
      </c>
      <c r="R96" s="8">
        <v>540.3646</v>
      </c>
      <c r="S96" s="8">
        <v>0.23595465923634712</v>
      </c>
      <c r="T96" s="8">
        <v>2.520902</v>
      </c>
      <c r="U96" s="8">
        <f t="shared" si="7"/>
        <v>668572.81692446861</v>
      </c>
      <c r="V96" s="8">
        <v>98.563016991381531</v>
      </c>
      <c r="W96" s="8"/>
      <c r="X96" s="8">
        <v>3.0324705929406131</v>
      </c>
      <c r="Y96" s="8">
        <v>696.43197130372334</v>
      </c>
      <c r="Z96" s="46">
        <v>4.5701459558637643E-2</v>
      </c>
      <c r="AA96" s="8">
        <v>0.81103780000000003</v>
      </c>
      <c r="AB96" s="8">
        <f t="shared" si="10"/>
        <v>861669.11165311548</v>
      </c>
      <c r="AC96" s="8">
        <v>4.8326193029507518</v>
      </c>
      <c r="AD96" s="8"/>
      <c r="AE96" s="8">
        <f>'DN300 PN10_Center III'!B70</f>
        <v>0</v>
      </c>
      <c r="AF96" s="8">
        <f>'DN300 PN10_Center III'!C70</f>
        <v>0</v>
      </c>
      <c r="AG96" s="8" t="e">
        <f>'DN300 PN10_Center III'!H70</f>
        <v>#DIV/0!</v>
      </c>
      <c r="AH96">
        <f>'DN300 PN10_Center III'!E70</f>
        <v>0</v>
      </c>
      <c r="AI96">
        <f t="shared" si="8"/>
        <v>0</v>
      </c>
      <c r="AJ96" s="8" t="e">
        <f>'DN300 PN10_Center III'!I70</f>
        <v>#DIV/0!</v>
      </c>
      <c r="AL96">
        <v>6.2276941728067454</v>
      </c>
      <c r="AM96">
        <v>900.95865273424624</v>
      </c>
      <c r="AN96">
        <v>0.3797456304270268</v>
      </c>
      <c r="AO96">
        <v>35.811080821020397</v>
      </c>
      <c r="AP96">
        <f t="shared" si="9"/>
        <v>1404490.9490417605</v>
      </c>
      <c r="AQ96">
        <v>129.21579611664723</v>
      </c>
    </row>
    <row r="97" spans="1:36" x14ac:dyDescent="0.25">
      <c r="A97" s="44" t="s">
        <v>80</v>
      </c>
      <c r="B97" s="8"/>
      <c r="C97" s="8"/>
      <c r="D97" s="8"/>
      <c r="E97" s="8"/>
      <c r="F97" s="8"/>
      <c r="G97" s="8"/>
      <c r="H97" s="8"/>
      <c r="I97" s="8"/>
      <c r="J97" s="8">
        <v>3.7492239007354238</v>
      </c>
      <c r="K97" s="8">
        <v>542.39909999999998</v>
      </c>
      <c r="L97" s="8">
        <v>9.2364507032712637E-2</v>
      </c>
      <c r="M97" s="8">
        <v>3.1568791691981484</v>
      </c>
      <c r="N97" s="8">
        <f t="shared" si="5"/>
        <v>845537.83284780942</v>
      </c>
      <c r="O97" s="8">
        <v>18.945194932876564</v>
      </c>
      <c r="P97" s="8"/>
      <c r="Q97" s="8">
        <v>2.9181164679708154</v>
      </c>
      <c r="R97" s="8">
        <v>670.16959999999995</v>
      </c>
      <c r="S97" s="8">
        <v>0.22864444783732288</v>
      </c>
      <c r="T97" s="8">
        <v>3.757368</v>
      </c>
      <c r="U97" s="8">
        <f t="shared" si="7"/>
        <v>829175.66637256474</v>
      </c>
      <c r="V97" s="8">
        <v>94.926738619666466</v>
      </c>
      <c r="W97" s="8"/>
      <c r="X97" s="8">
        <v>3.9740985939941669</v>
      </c>
      <c r="Y97" s="8">
        <v>912.68463556207485</v>
      </c>
      <c r="Z97" s="46">
        <v>4.8884682741445751E-2</v>
      </c>
      <c r="AA97" s="8">
        <v>1.4899370000000001</v>
      </c>
      <c r="AB97" s="8">
        <f t="shared" si="10"/>
        <v>1129230.4080641454</v>
      </c>
      <c r="AC97" s="8">
        <v>5.7758275331062423</v>
      </c>
      <c r="AD97" s="8"/>
      <c r="AE97" s="8">
        <f>'DN300 PN10_Center III'!B71</f>
        <v>0</v>
      </c>
      <c r="AF97" s="8">
        <f>'DN300 PN10_Center III'!C71</f>
        <v>0</v>
      </c>
      <c r="AG97" s="8" t="e">
        <f>'DN300 PN10_Center III'!H71</f>
        <v>#DIV/0!</v>
      </c>
      <c r="AH97">
        <f>'DN300 PN10_Center III'!E71</f>
        <v>0</v>
      </c>
      <c r="AI97">
        <f t="shared" si="8"/>
        <v>0</v>
      </c>
      <c r="AJ97" s="8" t="e">
        <f>'DN300 PN10_Center III'!I71</f>
        <v>#DIV/0!</v>
      </c>
    </row>
    <row r="98" spans="1:36" x14ac:dyDescent="0.25">
      <c r="A98" s="44" t="s">
        <v>80</v>
      </c>
      <c r="B98" s="8"/>
      <c r="C98" s="8"/>
      <c r="D98" s="8"/>
      <c r="E98" s="8"/>
      <c r="F98" s="8"/>
      <c r="G98" s="8"/>
      <c r="H98" s="8"/>
      <c r="I98" s="8"/>
      <c r="J98" s="8">
        <v>3.7325348498392557</v>
      </c>
      <c r="K98" s="8">
        <v>539.98469999999998</v>
      </c>
      <c r="L98" s="8">
        <v>9.2794854041754096E-2</v>
      </c>
      <c r="M98" s="8">
        <v>3.1434150239817504</v>
      </c>
      <c r="N98" s="8">
        <f t="shared" si="5"/>
        <v>841774.0608510864</v>
      </c>
      <c r="O98" s="8">
        <v>19.11253986958457</v>
      </c>
      <c r="P98" s="8"/>
      <c r="Q98" s="8">
        <v>2.9174750802448846</v>
      </c>
      <c r="R98" s="8">
        <v>670.02229999999997</v>
      </c>
      <c r="S98" s="8">
        <v>0.2279810805391457</v>
      </c>
      <c r="T98" s="8">
        <v>3.7448199999999998</v>
      </c>
      <c r="U98" s="8">
        <f t="shared" si="7"/>
        <v>828993.41761694127</v>
      </c>
      <c r="V98" s="8">
        <v>94.595039953748127</v>
      </c>
      <c r="W98" s="8"/>
      <c r="X98" s="8">
        <v>3.9749427898626664</v>
      </c>
      <c r="Y98" s="8">
        <v>912.87851213065062</v>
      </c>
      <c r="Z98" s="46">
        <v>5.0554093568797004E-2</v>
      </c>
      <c r="AA98" s="8">
        <v>1.5414730000000001</v>
      </c>
      <c r="AB98" s="8">
        <f t="shared" si="10"/>
        <v>1129470.284258086</v>
      </c>
      <c r="AC98" s="8">
        <v>6.2989256154110809</v>
      </c>
      <c r="AD98" s="8"/>
      <c r="AE98" s="8">
        <f>'DN300 PN10_Center III'!B72</f>
        <v>0</v>
      </c>
      <c r="AF98" s="8">
        <f>'DN300 PN10_Center III'!C72</f>
        <v>0</v>
      </c>
      <c r="AG98" s="8" t="e">
        <f>'DN300 PN10_Center III'!H72</f>
        <v>#DIV/0!</v>
      </c>
      <c r="AH98">
        <f>'DN300 PN10_Center III'!E72</f>
        <v>0</v>
      </c>
      <c r="AI98">
        <f t="shared" si="8"/>
        <v>0</v>
      </c>
      <c r="AJ98" s="8" t="e">
        <f>'DN300 PN10_Center III'!I72</f>
        <v>#DIV/0!</v>
      </c>
    </row>
    <row r="99" spans="1:36" s="76" customFormat="1" x14ac:dyDescent="0.25">
      <c r="A99" s="79" t="s">
        <v>81</v>
      </c>
      <c r="B99" s="77"/>
      <c r="C99" s="77"/>
      <c r="D99" s="77"/>
      <c r="E99" s="77"/>
      <c r="F99" s="77"/>
      <c r="G99" s="77"/>
      <c r="H99" s="77"/>
      <c r="I99" s="77"/>
      <c r="J99" s="77">
        <v>0.62442114342120481</v>
      </c>
      <c r="K99" s="77">
        <v>90.334819999999993</v>
      </c>
      <c r="L99" s="77">
        <v>0.11537939351240159</v>
      </c>
      <c r="M99" s="77">
        <v>0.10938393459397333</v>
      </c>
      <c r="N99" s="77">
        <f t="shared" si="5"/>
        <v>140821.59784833153</v>
      </c>
      <c r="O99" s="77">
        <v>28.229349552896931</v>
      </c>
      <c r="P99" s="77"/>
      <c r="Q99" s="77">
        <v>0.782174726635399</v>
      </c>
      <c r="R99" s="77">
        <v>179.63290000000001</v>
      </c>
      <c r="S99" s="77">
        <v>0.30333352239865191</v>
      </c>
      <c r="T99" s="77">
        <v>0.35813420000000001</v>
      </c>
      <c r="U99" s="77">
        <f t="shared" si="7"/>
        <v>222253.03797715725</v>
      </c>
      <c r="V99" s="77">
        <v>130.37837625660211</v>
      </c>
      <c r="W99" s="77"/>
      <c r="X99" s="77">
        <v>1.1813329943617845</v>
      </c>
      <c r="Y99" s="77">
        <v>271.30290000000002</v>
      </c>
      <c r="Z99" s="78">
        <v>0.11254335483296987</v>
      </c>
      <c r="AA99" s="77">
        <v>0.30309750000000002</v>
      </c>
      <c r="AB99" s="77">
        <f t="shared" si="10"/>
        <v>335672.88473889197</v>
      </c>
      <c r="AC99" s="77">
        <v>34.089588482403848</v>
      </c>
      <c r="AD99" s="77"/>
      <c r="AE99" s="77"/>
      <c r="AF99" s="77"/>
      <c r="AG99" s="77"/>
    </row>
    <row r="100" spans="1:36" s="76" customFormat="1" x14ac:dyDescent="0.25">
      <c r="A100" s="79" t="s">
        <v>81</v>
      </c>
      <c r="B100" s="77"/>
      <c r="C100" s="77"/>
      <c r="D100" s="77"/>
      <c r="E100" s="77"/>
      <c r="F100" s="77"/>
      <c r="G100" s="77"/>
      <c r="H100" s="77"/>
      <c r="I100" s="77"/>
      <c r="J100" s="77">
        <v>0.62507649833980383</v>
      </c>
      <c r="K100" s="77">
        <v>90.429630000000003</v>
      </c>
      <c r="L100" s="77">
        <v>8.6546957516400416E-2</v>
      </c>
      <c r="M100" s="77">
        <v>8.2222037633675915E-2</v>
      </c>
      <c r="N100" s="77">
        <f t="shared" si="5"/>
        <v>140969.39573725185</v>
      </c>
      <c r="O100" s="77">
        <v>16.714930711773548</v>
      </c>
      <c r="P100" s="77"/>
      <c r="Q100" s="77">
        <v>0.78096379705915053</v>
      </c>
      <c r="R100" s="77">
        <v>179.35480000000001</v>
      </c>
      <c r="S100" s="77">
        <v>0.31172916020695024</v>
      </c>
      <c r="T100" s="77">
        <v>0.36690790000000001</v>
      </c>
      <c r="U100" s="77">
        <f t="shared" si="7"/>
        <v>221908.95529597002</v>
      </c>
      <c r="V100" s="77">
        <v>134.12638264722253</v>
      </c>
      <c r="W100" s="77"/>
      <c r="X100" s="77">
        <v>1.1855483878273232</v>
      </c>
      <c r="Y100" s="77">
        <v>272.27100000000002</v>
      </c>
      <c r="Z100" s="78">
        <v>0.11088639441046254</v>
      </c>
      <c r="AA100" s="77">
        <v>0.30077009999999998</v>
      </c>
      <c r="AB100" s="77">
        <f t="shared" si="10"/>
        <v>336870.67849530122</v>
      </c>
      <c r="AC100" s="77">
        <v>33.22977813706833</v>
      </c>
      <c r="AD100" s="77"/>
      <c r="AE100" s="77"/>
      <c r="AF100" s="77"/>
      <c r="AG100" s="77"/>
    </row>
    <row r="101" spans="1:36" s="76" customFormat="1" x14ac:dyDescent="0.25">
      <c r="A101" s="79" t="s">
        <v>81</v>
      </c>
      <c r="B101" s="77"/>
      <c r="C101" s="77"/>
      <c r="D101" s="77"/>
      <c r="E101" s="77"/>
      <c r="F101" s="77"/>
      <c r="G101" s="77"/>
      <c r="H101" s="77"/>
      <c r="I101" s="77"/>
      <c r="J101" s="77">
        <v>1.2423423770844149</v>
      </c>
      <c r="K101" s="77">
        <v>179.72929999999999</v>
      </c>
      <c r="L101" s="77">
        <v>0.14490562676733798</v>
      </c>
      <c r="M101" s="77">
        <v>0.54379841531219308</v>
      </c>
      <c r="N101" s="77">
        <f t="shared" si="5"/>
        <v>280177.31375522894</v>
      </c>
      <c r="O101" s="77">
        <v>40.66328716351827</v>
      </c>
      <c r="P101" s="77"/>
      <c r="Q101" s="77">
        <v>1.1742320092738803</v>
      </c>
      <c r="R101" s="77">
        <v>269.6721</v>
      </c>
      <c r="S101" s="77">
        <v>0.47293148409109559</v>
      </c>
      <c r="T101" s="77">
        <v>1.2584150000000001</v>
      </c>
      <c r="U101" s="77">
        <f t="shared" si="7"/>
        <v>333655.1571715413</v>
      </c>
      <c r="V101" s="77">
        <v>197.6903702149279</v>
      </c>
      <c r="W101" s="77"/>
      <c r="X101" s="77">
        <v>1.5861862451617963</v>
      </c>
      <c r="Y101" s="77">
        <v>364.2808</v>
      </c>
      <c r="Z101" s="78">
        <v>0.10684196915568447</v>
      </c>
      <c r="AA101" s="77">
        <v>0.5187619</v>
      </c>
      <c r="AB101" s="77">
        <f t="shared" si="10"/>
        <v>450710.94703002187</v>
      </c>
      <c r="AC101" s="77">
        <v>31.143825616857338</v>
      </c>
      <c r="AD101" s="77"/>
      <c r="AE101" s="77"/>
      <c r="AF101" s="77"/>
      <c r="AG101" s="77"/>
    </row>
    <row r="102" spans="1:36" s="76" customFormat="1" x14ac:dyDescent="0.25">
      <c r="A102" s="79" t="s">
        <v>81</v>
      </c>
      <c r="B102" s="77"/>
      <c r="C102" s="77"/>
      <c r="D102" s="77"/>
      <c r="E102" s="77"/>
      <c r="F102" s="77"/>
      <c r="G102" s="77"/>
      <c r="H102" s="77"/>
      <c r="I102" s="77"/>
      <c r="J102" s="77">
        <v>1.244425743527467</v>
      </c>
      <c r="K102" s="77">
        <v>180.0307</v>
      </c>
      <c r="L102" s="77">
        <v>0.14616289968378723</v>
      </c>
      <c r="M102" s="77">
        <v>0.55035791007950685</v>
      </c>
      <c r="N102" s="77">
        <f t="shared" si="5"/>
        <v>280647.1617008106</v>
      </c>
      <c r="O102" s="77">
        <v>41.196841583982959</v>
      </c>
      <c r="P102" s="77"/>
      <c r="Q102" s="77">
        <v>1.175897962729014</v>
      </c>
      <c r="R102" s="77">
        <v>270.05470000000003</v>
      </c>
      <c r="S102" s="77">
        <v>0.4516192735964521</v>
      </c>
      <c r="T102" s="77">
        <v>1.2051179999999999</v>
      </c>
      <c r="U102" s="77">
        <f t="shared" si="7"/>
        <v>334128.53377643967</v>
      </c>
      <c r="V102" s="77">
        <v>190.12009490260834</v>
      </c>
      <c r="W102" s="77"/>
      <c r="X102" s="77">
        <v>1.5872399846707939</v>
      </c>
      <c r="Y102" s="77">
        <v>364.52280000000002</v>
      </c>
      <c r="Z102" s="78">
        <v>0.10429782694086083</v>
      </c>
      <c r="AA102" s="77">
        <v>0.50708209999999998</v>
      </c>
      <c r="AB102" s="77">
        <f t="shared" si="10"/>
        <v>451010.36453756358</v>
      </c>
      <c r="AC102" s="77">
        <v>29.841981039306368</v>
      </c>
      <c r="AD102" s="77"/>
      <c r="AE102" s="77"/>
      <c r="AF102" s="77"/>
      <c r="AG102" s="77"/>
    </row>
    <row r="103" spans="1:36" s="76" customFormat="1" x14ac:dyDescent="0.25">
      <c r="A103" s="79" t="s">
        <v>81</v>
      </c>
      <c r="B103" s="77"/>
      <c r="C103" s="77"/>
      <c r="D103" s="77"/>
      <c r="E103" s="77"/>
      <c r="F103" s="77"/>
      <c r="G103" s="77"/>
      <c r="H103" s="77"/>
      <c r="I103" s="77"/>
      <c r="J103" s="77">
        <v>1.8861440817720452</v>
      </c>
      <c r="K103" s="77">
        <v>272.86790000000002</v>
      </c>
      <c r="L103" s="77">
        <v>0.17887921749434035</v>
      </c>
      <c r="M103" s="77">
        <v>1.547318456258864</v>
      </c>
      <c r="N103" s="77">
        <f t="shared" si="5"/>
        <v>425369.68225008633</v>
      </c>
      <c r="O103" s="77">
        <v>55.016981333721112</v>
      </c>
      <c r="P103" s="77"/>
      <c r="Q103" s="77">
        <v>1.5743643329017645</v>
      </c>
      <c r="R103" s="77">
        <v>361.56580000000002</v>
      </c>
      <c r="S103" s="77">
        <v>0.34610820015463689</v>
      </c>
      <c r="T103" s="77">
        <v>1.6555420000000001</v>
      </c>
      <c r="U103" s="77">
        <f t="shared" si="7"/>
        <v>447351.77953838772</v>
      </c>
      <c r="V103" s="77">
        <v>148.98891606887869</v>
      </c>
      <c r="W103" s="77"/>
      <c r="X103" s="77">
        <v>2.3543606055026536</v>
      </c>
      <c r="Y103" s="77">
        <v>540.69839999999999</v>
      </c>
      <c r="Z103" s="78">
        <v>0.10480287538578174</v>
      </c>
      <c r="AA103" s="77">
        <v>1.121081</v>
      </c>
      <c r="AB103" s="77">
        <f t="shared" si="10"/>
        <v>668985.81512288749</v>
      </c>
      <c r="AC103" s="77">
        <v>30.099730963149081</v>
      </c>
      <c r="AD103" s="77"/>
      <c r="AE103" s="77"/>
      <c r="AF103" s="77"/>
      <c r="AG103" s="77"/>
    </row>
    <row r="104" spans="1:36" s="76" customFormat="1" x14ac:dyDescent="0.25">
      <c r="A104" s="79" t="s">
        <v>81</v>
      </c>
      <c r="B104" s="77"/>
      <c r="C104" s="77"/>
      <c r="D104" s="77"/>
      <c r="E104" s="77"/>
      <c r="F104" s="77"/>
      <c r="G104" s="77"/>
      <c r="H104" s="77"/>
      <c r="I104" s="77"/>
      <c r="J104" s="77">
        <v>1.8847560924496667</v>
      </c>
      <c r="K104" s="77">
        <v>272.6671</v>
      </c>
      <c r="L104" s="77">
        <v>0.17804706736731915</v>
      </c>
      <c r="M104" s="77">
        <v>1.5378544204764519</v>
      </c>
      <c r="N104" s="77">
        <f t="shared" si="5"/>
        <v>425056.65813770145</v>
      </c>
      <c r="O104" s="77">
        <v>54.668520619018679</v>
      </c>
      <c r="P104" s="77"/>
      <c r="Q104" s="77">
        <v>1.56883655477502</v>
      </c>
      <c r="R104" s="77">
        <v>360.29629999999997</v>
      </c>
      <c r="S104" s="77">
        <v>0.34553789875564689</v>
      </c>
      <c r="T104" s="77">
        <v>1.6412279999999999</v>
      </c>
      <c r="U104" s="77">
        <f t="shared" si="7"/>
        <v>445781.07488622208</v>
      </c>
      <c r="V104" s="77">
        <v>148.74859995880288</v>
      </c>
      <c r="W104" s="77"/>
      <c r="X104" s="77">
        <v>2.3552906830196862</v>
      </c>
      <c r="Y104" s="77">
        <v>540.91200000000003</v>
      </c>
      <c r="Z104" s="78">
        <v>0.10749252813319259</v>
      </c>
      <c r="AA104" s="77">
        <v>1.1507609999999999</v>
      </c>
      <c r="AB104" s="77">
        <f t="shared" si="10"/>
        <v>669250.09437747812</v>
      </c>
      <c r="AC104" s="77">
        <v>31.478054311288655</v>
      </c>
      <c r="AD104" s="77"/>
      <c r="AE104" s="77"/>
      <c r="AF104" s="77"/>
      <c r="AG104" s="77"/>
    </row>
    <row r="105" spans="1:36" s="76" customFormat="1" x14ac:dyDescent="0.25">
      <c r="A105" s="79" t="s">
        <v>81</v>
      </c>
      <c r="B105" s="77"/>
      <c r="C105" s="77"/>
      <c r="D105" s="77"/>
      <c r="E105" s="77"/>
      <c r="F105" s="77"/>
      <c r="G105" s="77"/>
      <c r="H105" s="77"/>
      <c r="I105" s="77"/>
      <c r="J105" s="77">
        <v>2.4776065616084932</v>
      </c>
      <c r="K105" s="77">
        <v>358.43459999999999</v>
      </c>
      <c r="L105" s="77">
        <v>0.18210359073179413</v>
      </c>
      <c r="M105" s="77">
        <v>2.718023975383018</v>
      </c>
      <c r="N105" s="77">
        <f t="shared" si="5"/>
        <v>558758.32924809691</v>
      </c>
      <c r="O105" s="77">
        <v>56.365017934877876</v>
      </c>
      <c r="P105" s="77"/>
      <c r="Q105" s="77">
        <v>2.3634980945920376</v>
      </c>
      <c r="R105" s="77">
        <v>542.79690000000005</v>
      </c>
      <c r="S105" s="77">
        <v>0.29344946258559018</v>
      </c>
      <c r="T105" s="77">
        <v>3.1634549999999999</v>
      </c>
      <c r="U105" s="77">
        <f t="shared" si="7"/>
        <v>671582.21032774751</v>
      </c>
      <c r="V105" s="77">
        <v>125.90503264508078</v>
      </c>
      <c r="W105" s="77"/>
      <c r="X105" s="77">
        <v>3.0286563550419308</v>
      </c>
      <c r="Y105" s="77">
        <v>695.55600000000004</v>
      </c>
      <c r="Z105" s="78">
        <v>9.5614878068046763E-2</v>
      </c>
      <c r="AA105" s="77">
        <v>1.6925570000000001</v>
      </c>
      <c r="AB105" s="77">
        <f t="shared" si="10"/>
        <v>860585.30527113692</v>
      </c>
      <c r="AC105" s="77">
        <v>25.471635744535458</v>
      </c>
      <c r="AD105" s="77"/>
      <c r="AE105" s="77"/>
      <c r="AF105" s="77"/>
      <c r="AG105" s="77"/>
    </row>
    <row r="106" spans="1:36" s="76" customFormat="1" x14ac:dyDescent="0.25">
      <c r="A106" s="79" t="s">
        <v>81</v>
      </c>
      <c r="B106" s="77"/>
      <c r="C106" s="77"/>
      <c r="D106" s="77"/>
      <c r="E106" s="77"/>
      <c r="F106" s="77"/>
      <c r="G106" s="77"/>
      <c r="H106" s="77"/>
      <c r="I106" s="77"/>
      <c r="J106" s="77">
        <v>2.4966699866691879</v>
      </c>
      <c r="K106" s="77">
        <v>361.1925</v>
      </c>
      <c r="L106" s="77">
        <v>0.17889007941788984</v>
      </c>
      <c r="M106" s="77">
        <v>2.7113065719682168</v>
      </c>
      <c r="N106" s="77">
        <f t="shared" si="5"/>
        <v>563057.57824982086</v>
      </c>
      <c r="O106" s="77">
        <v>55.021528256045613</v>
      </c>
      <c r="P106" s="77"/>
      <c r="Q106" s="77">
        <v>2.3640101597418641</v>
      </c>
      <c r="R106" s="77">
        <v>542.91449999999998</v>
      </c>
      <c r="S106" s="77">
        <v>0.29687481267715748</v>
      </c>
      <c r="T106" s="77">
        <v>3.2017679999999999</v>
      </c>
      <c r="U106" s="77">
        <f t="shared" si="7"/>
        <v>671727.71238926356</v>
      </c>
      <c r="V106" s="77">
        <v>127.46277200040093</v>
      </c>
      <c r="W106" s="77"/>
      <c r="X106" s="77">
        <v>3.0314121886586429</v>
      </c>
      <c r="Y106" s="77">
        <v>696.18889999999999</v>
      </c>
      <c r="Z106" s="78">
        <v>0.10020697286022463</v>
      </c>
      <c r="AA106" s="77">
        <v>1.777075</v>
      </c>
      <c r="AB106" s="77">
        <f t="shared" si="10"/>
        <v>861368.36866172822</v>
      </c>
      <c r="AC106" s="77">
        <v>27.767800632783821</v>
      </c>
      <c r="AD106" s="77"/>
      <c r="AE106" s="77"/>
      <c r="AF106" s="77"/>
      <c r="AG106" s="77"/>
    </row>
    <row r="107" spans="1:36" s="76" customFormat="1" x14ac:dyDescent="0.25">
      <c r="A107" s="79" t="s">
        <v>81</v>
      </c>
      <c r="B107" s="77"/>
      <c r="C107" s="77"/>
      <c r="D107" s="77"/>
      <c r="E107" s="77"/>
      <c r="F107" s="77"/>
      <c r="G107" s="77"/>
      <c r="H107" s="77"/>
      <c r="I107" s="77"/>
      <c r="J107" s="77">
        <v>3.7294733933109625</v>
      </c>
      <c r="K107" s="77">
        <v>539.54179999999997</v>
      </c>
      <c r="L107" s="77">
        <v>0.18772744852842191</v>
      </c>
      <c r="M107" s="77">
        <v>6.3488182242741349</v>
      </c>
      <c r="N107" s="77">
        <f t="shared" si="5"/>
        <v>841083.63067491504</v>
      </c>
      <c r="O107" s="77">
        <v>58.707489563650775</v>
      </c>
      <c r="P107" s="77"/>
      <c r="Q107" s="77">
        <v>2.9472131767351661</v>
      </c>
      <c r="R107" s="77">
        <v>676.8519</v>
      </c>
      <c r="S107" s="77">
        <v>0.29231342974948726</v>
      </c>
      <c r="T107" s="77">
        <v>4.8999280000000001</v>
      </c>
      <c r="U107" s="77">
        <f t="shared" si="7"/>
        <v>837443.42509423953</v>
      </c>
      <c r="V107" s="77">
        <v>125.38664182662289</v>
      </c>
      <c r="W107" s="77"/>
      <c r="X107" s="77">
        <v>3.9177320840060101</v>
      </c>
      <c r="Y107" s="77">
        <v>899.7396</v>
      </c>
      <c r="Z107" s="78">
        <v>0.10243620317345815</v>
      </c>
      <c r="AA107" s="77">
        <v>3.034176</v>
      </c>
      <c r="AB107" s="77">
        <f t="shared" si="10"/>
        <v>1113214.0019359051</v>
      </c>
      <c r="AC107" s="77">
        <v>28.895001353876683</v>
      </c>
      <c r="AD107" s="77"/>
      <c r="AE107" s="77"/>
      <c r="AF107" s="77"/>
      <c r="AG107" s="77"/>
    </row>
    <row r="108" spans="1:36" s="76" customFormat="1" x14ac:dyDescent="0.25">
      <c r="A108" s="79" t="s">
        <v>81</v>
      </c>
      <c r="B108" s="77"/>
      <c r="C108" s="77"/>
      <c r="D108" s="77"/>
      <c r="E108" s="77"/>
      <c r="F108" s="77"/>
      <c r="G108" s="77"/>
      <c r="H108" s="77"/>
      <c r="I108" s="77"/>
      <c r="J108" s="77">
        <v>3.7397858498351471</v>
      </c>
      <c r="K108" s="77">
        <v>541.03369999999995</v>
      </c>
      <c r="L108" s="77">
        <v>0.18660495356456261</v>
      </c>
      <c r="M108" s="77">
        <v>6.3458050390601999</v>
      </c>
      <c r="N108" s="77">
        <f t="shared" si="5"/>
        <v>843409.33123899321</v>
      </c>
      <c r="O108" s="77">
        <v>58.240869687623217</v>
      </c>
      <c r="P108" s="77"/>
      <c r="Q108" s="77">
        <v>2.9446271606426313</v>
      </c>
      <c r="R108" s="77">
        <v>676.25800000000004</v>
      </c>
      <c r="S108" s="77">
        <v>0.29288487272434022</v>
      </c>
      <c r="T108" s="77">
        <v>4.9008950000000002</v>
      </c>
      <c r="U108" s="77">
        <f t="shared" si="7"/>
        <v>836708.61493833491</v>
      </c>
      <c r="V108" s="77">
        <v>125.64751049358142</v>
      </c>
      <c r="W108" s="77"/>
      <c r="X108" s="77">
        <v>3.928025203118898</v>
      </c>
      <c r="Y108" s="77">
        <v>902.10350000000005</v>
      </c>
      <c r="Z108" s="78">
        <v>0.10044945477782771</v>
      </c>
      <c r="AA108" s="77">
        <v>2.9909829999999999</v>
      </c>
      <c r="AB108" s="77">
        <f t="shared" si="10"/>
        <v>1116138.7665891186</v>
      </c>
      <c r="AC108" s="77">
        <v>27.890035880758287</v>
      </c>
      <c r="AD108" s="77"/>
      <c r="AE108" s="77"/>
      <c r="AF108" s="77"/>
      <c r="AG108" s="77"/>
    </row>
    <row r="109" spans="1:36" x14ac:dyDescent="0.25">
      <c r="A109" s="44" t="s">
        <v>82</v>
      </c>
      <c r="B109" s="8"/>
      <c r="C109" s="8"/>
      <c r="D109" s="8"/>
      <c r="E109" s="8"/>
      <c r="F109" s="8"/>
      <c r="G109" s="8"/>
      <c r="H109" s="8"/>
      <c r="I109" s="8"/>
      <c r="J109" s="8">
        <v>0.62203142395640054</v>
      </c>
      <c r="K109" s="8">
        <v>89.989099999999993</v>
      </c>
      <c r="L109" s="8">
        <v>0.43182431070037253</v>
      </c>
      <c r="M109" s="8">
        <v>0.40625790767360326</v>
      </c>
      <c r="N109" s="8">
        <f t="shared" si="5"/>
        <v>140282.66011858205</v>
      </c>
      <c r="O109" s="8">
        <v>145.14892177006911</v>
      </c>
      <c r="P109" s="8"/>
      <c r="Q109" s="8">
        <v>0.39712720659427064</v>
      </c>
      <c r="R109" s="8">
        <v>91.203550000000007</v>
      </c>
      <c r="S109" s="8">
        <v>0.40679518707056311</v>
      </c>
      <c r="T109" s="8">
        <v>0.12380919999999999</v>
      </c>
      <c r="U109" s="8">
        <f t="shared" si="7"/>
        <v>112842.72570226036</v>
      </c>
      <c r="V109" s="8">
        <v>173.42347715322194</v>
      </c>
      <c r="W109" s="8"/>
      <c r="X109" s="8">
        <v>1.1855546324797235</v>
      </c>
      <c r="Y109" s="8">
        <v>272.27243413611052</v>
      </c>
      <c r="Z109" s="46">
        <v>0.19437377004797465</v>
      </c>
      <c r="AA109" s="8">
        <v>0.52722820000000004</v>
      </c>
      <c r="AB109" s="8">
        <f t="shared" si="10"/>
        <v>336872.45289802708</v>
      </c>
      <c r="AC109" s="8">
        <v>77.436736489518452</v>
      </c>
      <c r="AD109" s="8"/>
      <c r="AE109" s="8">
        <f>'DN300 PN10_Center III'!AF63</f>
        <v>0.39871238786803287</v>
      </c>
      <c r="AF109" s="8">
        <f>'DN300 PN10_Center III'!AG63</f>
        <v>91.567599999999999</v>
      </c>
      <c r="AG109" s="8">
        <f>'DN300 PN10_Center III'!AL63</f>
        <v>2.8386572031111323</v>
      </c>
      <c r="AH109">
        <f>'DN300 PN10_Center III'!AI63</f>
        <v>0.87086379999999997</v>
      </c>
      <c r="AI109">
        <f t="shared" si="8"/>
        <v>113293.15108912201</v>
      </c>
      <c r="AJ109" s="8">
        <f>'DN300 PN10_Center III'!AM63</f>
        <v>532.45266306534802</v>
      </c>
    </row>
    <row r="110" spans="1:36" x14ac:dyDescent="0.25">
      <c r="A110" s="44" t="s">
        <v>82</v>
      </c>
      <c r="B110" s="8"/>
      <c r="C110" s="8"/>
      <c r="D110" s="8"/>
      <c r="E110" s="8"/>
      <c r="F110" s="8"/>
      <c r="G110" s="8"/>
      <c r="H110" s="8"/>
      <c r="I110" s="8"/>
      <c r="J110" s="8">
        <v>0.62279226053366266</v>
      </c>
      <c r="K110" s="8">
        <v>90.099170000000001</v>
      </c>
      <c r="L110" s="8">
        <v>0.43774609440395107</v>
      </c>
      <c r="M110" s="8">
        <v>0.41283716091648082</v>
      </c>
      <c r="N110" s="8">
        <f t="shared" si="5"/>
        <v>140454.24659293567</v>
      </c>
      <c r="O110" s="8">
        <v>146.88515117299505</v>
      </c>
      <c r="P110" s="8"/>
      <c r="Q110" s="8">
        <v>0.39680821090654683</v>
      </c>
      <c r="R110" s="8">
        <v>91.130290000000002</v>
      </c>
      <c r="S110" s="8">
        <v>0.39803706135536937</v>
      </c>
      <c r="T110" s="8">
        <v>0.1209491</v>
      </c>
      <c r="U110" s="8">
        <f t="shared" si="7"/>
        <v>112752.08385679548</v>
      </c>
      <c r="V110" s="8">
        <v>170.03181910397859</v>
      </c>
      <c r="W110" s="8"/>
      <c r="X110" s="8">
        <v>1.1855337343870533</v>
      </c>
      <c r="Y110" s="8">
        <v>272.26763471615612</v>
      </c>
      <c r="Z110" s="46">
        <v>0.20247397483383966</v>
      </c>
      <c r="AA110" s="8">
        <v>0.54918020000000001</v>
      </c>
      <c r="AB110" s="8">
        <f t="shared" si="10"/>
        <v>336866.5147560421</v>
      </c>
      <c r="AC110" s="8">
        <v>81.632682224028159</v>
      </c>
      <c r="AD110" s="8"/>
      <c r="AE110" s="8">
        <f>'DN300 PN10_Center III'!AF64</f>
        <v>0.39971026176587138</v>
      </c>
      <c r="AF110" s="8">
        <f>'DN300 PN10_Center III'!AG64</f>
        <v>91.796769999999995</v>
      </c>
      <c r="AG110" s="8">
        <f>'DN300 PN10_Center III'!AL64</f>
        <v>3.2230037130330804</v>
      </c>
      <c r="AH110">
        <f>'DN300 PN10_Center III'!AI64</f>
        <v>0.9937319</v>
      </c>
      <c r="AI110">
        <f t="shared" si="8"/>
        <v>113576.6945197142</v>
      </c>
      <c r="AJ110" s="8">
        <f>'DN300 PN10_Center III'!AM64</f>
        <v>555.31237076203627</v>
      </c>
    </row>
    <row r="111" spans="1:36" x14ac:dyDescent="0.25">
      <c r="A111" s="44" t="s">
        <v>82</v>
      </c>
      <c r="B111" s="8"/>
      <c r="C111" s="8"/>
      <c r="D111" s="8"/>
      <c r="E111" s="8"/>
      <c r="F111" s="8"/>
      <c r="G111" s="8"/>
      <c r="H111" s="8"/>
      <c r="I111" s="8"/>
      <c r="J111" s="8">
        <v>1.2566770994785803</v>
      </c>
      <c r="K111" s="8">
        <v>181.8031</v>
      </c>
      <c r="L111" s="8">
        <v>0.26893495820435953</v>
      </c>
      <c r="M111" s="8">
        <v>1.032677583042652</v>
      </c>
      <c r="N111" s="8">
        <f t="shared" si="5"/>
        <v>283410.12951351429</v>
      </c>
      <c r="O111" s="8">
        <v>90.895084267752722</v>
      </c>
      <c r="P111" s="8"/>
      <c r="Q111" s="8">
        <v>0.78990011769681667</v>
      </c>
      <c r="R111" s="8">
        <v>181.40710000000001</v>
      </c>
      <c r="S111" s="8">
        <v>0.89169330979814321</v>
      </c>
      <c r="T111" s="8">
        <v>1.0736870000000001</v>
      </c>
      <c r="U111" s="8">
        <f t="shared" si="7"/>
        <v>224448.18897666279</v>
      </c>
      <c r="V111" s="8">
        <v>311.56675600852145</v>
      </c>
      <c r="W111" s="8"/>
      <c r="X111" s="8">
        <v>1.5529448431342283</v>
      </c>
      <c r="Y111" s="8">
        <v>356.64663688664569</v>
      </c>
      <c r="Z111" s="46">
        <v>0.20098245276362306</v>
      </c>
      <c r="AA111" s="8">
        <v>0.93537990000000004</v>
      </c>
      <c r="AB111" s="8">
        <f t="shared" si="10"/>
        <v>441265.48384172987</v>
      </c>
      <c r="AC111" s="8">
        <v>80.862759631073416</v>
      </c>
      <c r="AD111" s="8"/>
      <c r="AE111" s="8">
        <f>'DN300 PN10_Center III'!AF65</f>
        <v>0.78506336626460904</v>
      </c>
      <c r="AF111" s="8">
        <f>'DN300 PN10_Center III'!AG65</f>
        <v>180.2963</v>
      </c>
      <c r="AG111" s="8">
        <f>'DN300 PN10_Center III'!AL65</f>
        <v>2.0107001399090176</v>
      </c>
      <c r="AH111">
        <f>'DN300 PN10_Center III'!AI65</f>
        <v>2.3915229999999998</v>
      </c>
      <c r="AI111">
        <f t="shared" si="8"/>
        <v>223073.8378717982</v>
      </c>
      <c r="AJ111" s="8">
        <f>'DN300 PN10_Center III'!AM65</f>
        <v>468.20406833801877</v>
      </c>
    </row>
    <row r="112" spans="1:36" x14ac:dyDescent="0.25">
      <c r="A112" s="44" t="s">
        <v>82</v>
      </c>
      <c r="B112" s="8"/>
      <c r="C112" s="8"/>
      <c r="D112" s="8"/>
      <c r="E112" s="8"/>
      <c r="F112" s="8"/>
      <c r="G112" s="8"/>
      <c r="H112" s="8"/>
      <c r="I112" s="8"/>
      <c r="J112" s="8">
        <v>1.2565277938542605</v>
      </c>
      <c r="K112" s="8">
        <v>181.78149999999999</v>
      </c>
      <c r="L112" s="8">
        <v>0.27029673599146881</v>
      </c>
      <c r="M112" s="8">
        <v>1.0376600319604854</v>
      </c>
      <c r="N112" s="8">
        <f t="shared" si="5"/>
        <v>283376.45759704261</v>
      </c>
      <c r="O112" s="8">
        <v>91.405474578896872</v>
      </c>
      <c r="P112" s="8"/>
      <c r="Q112" s="8">
        <v>0.78872794135044433</v>
      </c>
      <c r="R112" s="8">
        <v>181.1379</v>
      </c>
      <c r="S112" s="8">
        <v>0.8907364327256545</v>
      </c>
      <c r="T112" s="8">
        <v>1.0693539999999999</v>
      </c>
      <c r="U112" s="8">
        <f t="shared" si="7"/>
        <v>224115.11793108337</v>
      </c>
      <c r="V112" s="8">
        <v>311.36284191529779</v>
      </c>
      <c r="W112" s="8"/>
      <c r="X112" s="8">
        <v>1.5517697607984451</v>
      </c>
      <c r="Y112" s="8">
        <v>356.37676950212472</v>
      </c>
      <c r="Z112" s="46">
        <v>0.20141000435634221</v>
      </c>
      <c r="AA112" s="8">
        <v>0.93595170000000005</v>
      </c>
      <c r="AB112" s="8">
        <f t="shared" si="10"/>
        <v>440931.58706635784</v>
      </c>
      <c r="AC112" s="8">
        <v>81.083588411083412</v>
      </c>
      <c r="AD112" s="8"/>
      <c r="AE112" s="8">
        <f>'DN300 PN10_Center III'!AF66</f>
        <v>0.78506336626460904</v>
      </c>
      <c r="AF112" s="8">
        <f>'DN300 PN10_Center III'!AG66</f>
        <v>180.2963</v>
      </c>
      <c r="AG112" s="8">
        <f>'DN300 PN10_Center III'!AL66</f>
        <v>2.0107001399090176</v>
      </c>
      <c r="AH112">
        <f>'DN300 PN10_Center III'!AI66</f>
        <v>2.3915229999999998</v>
      </c>
      <c r="AI112">
        <f t="shared" si="8"/>
        <v>223073.8378717982</v>
      </c>
      <c r="AJ112" s="8">
        <f>'DN300 PN10_Center III'!AM66</f>
        <v>468.20406833801877</v>
      </c>
    </row>
    <row r="113" spans="1:36" x14ac:dyDescent="0.25">
      <c r="A113" s="44" t="s">
        <v>82</v>
      </c>
      <c r="B113" s="8"/>
      <c r="C113" s="8"/>
      <c r="D113" s="8"/>
      <c r="E113" s="8"/>
      <c r="F113" s="8"/>
      <c r="G113" s="8"/>
      <c r="H113" s="8"/>
      <c r="I113" s="8"/>
      <c r="J113" s="8">
        <v>1.8638090663414215</v>
      </c>
      <c r="K113" s="8">
        <v>269.63670000000002</v>
      </c>
      <c r="L113" s="8">
        <v>0.29399028426236495</v>
      </c>
      <c r="M113" s="8">
        <v>2.483166879832571</v>
      </c>
      <c r="N113" s="8">
        <f t="shared" si="5"/>
        <v>420332.61296752695</v>
      </c>
      <c r="O113" s="8">
        <v>100.12446199769097</v>
      </c>
      <c r="P113" s="8"/>
      <c r="Q113" s="8">
        <v>1.185210059067616</v>
      </c>
      <c r="R113" s="8">
        <v>272.19330000000002</v>
      </c>
      <c r="S113" s="8">
        <v>0.57647682690044388</v>
      </c>
      <c r="T113" s="8">
        <v>1.5627530000000001</v>
      </c>
      <c r="U113" s="8">
        <f t="shared" si="7"/>
        <v>336774.54320465663</v>
      </c>
      <c r="V113" s="8">
        <v>231.47881884824383</v>
      </c>
      <c r="W113" s="8"/>
      <c r="X113" s="8">
        <v>2.3536652774725151</v>
      </c>
      <c r="Y113" s="8">
        <v>540.53871216267703</v>
      </c>
      <c r="Z113" s="46">
        <v>0.19127062573751355</v>
      </c>
      <c r="AA113" s="8">
        <v>2.0448219999999999</v>
      </c>
      <c r="AB113" s="8">
        <f t="shared" si="10"/>
        <v>668788.23936158197</v>
      </c>
      <c r="AC113" s="8">
        <v>75.820096032629834</v>
      </c>
      <c r="AD113" s="8"/>
      <c r="AE113" s="8"/>
      <c r="AF113" s="8"/>
      <c r="AG113" s="8"/>
      <c r="AJ113" s="8"/>
    </row>
    <row r="114" spans="1:36" x14ac:dyDescent="0.25">
      <c r="A114" s="44" t="s">
        <v>82</v>
      </c>
      <c r="B114" s="8"/>
      <c r="C114" s="8"/>
      <c r="D114" s="8"/>
      <c r="E114" s="8"/>
      <c r="F114" s="8"/>
      <c r="G114" s="8"/>
      <c r="H114" s="8"/>
      <c r="I114" s="8"/>
      <c r="J114" s="8">
        <v>1.8804559522233137</v>
      </c>
      <c r="K114" s="8">
        <v>272.04500000000002</v>
      </c>
      <c r="L114" s="8">
        <v>0.2924173730179912</v>
      </c>
      <c r="M114" s="8">
        <v>2.5141986570424382</v>
      </c>
      <c r="N114" s="8">
        <f t="shared" si="5"/>
        <v>424086.87576561671</v>
      </c>
      <c r="O114" s="8">
        <v>99.555072052550528</v>
      </c>
      <c r="P114" s="8"/>
      <c r="Q114" s="8">
        <v>1.1917933184215543</v>
      </c>
      <c r="R114" s="8">
        <v>273.70519999999999</v>
      </c>
      <c r="S114" s="8">
        <v>0.56229298599163446</v>
      </c>
      <c r="T114" s="8">
        <v>1.541283</v>
      </c>
      <c r="U114" s="8">
        <f t="shared" si="7"/>
        <v>338645.16026933497</v>
      </c>
      <c r="V114" s="8">
        <v>227.12095652884324</v>
      </c>
      <c r="W114" s="8"/>
      <c r="X114" s="8">
        <v>2.3563502470037392</v>
      </c>
      <c r="Y114" s="8">
        <v>541.15533763890551</v>
      </c>
      <c r="Z114" s="46">
        <v>0.19019038075919048</v>
      </c>
      <c r="AA114" s="8">
        <v>2.0379149999999999</v>
      </c>
      <c r="AB114" s="8">
        <f t="shared" si="10"/>
        <v>669551.16689537955</v>
      </c>
      <c r="AC114" s="8">
        <v>75.25618036927159</v>
      </c>
      <c r="AD114" s="8"/>
      <c r="AE114" s="8"/>
      <c r="AF114" s="8"/>
      <c r="AG114" s="8"/>
      <c r="AJ114" s="8"/>
    </row>
    <row r="115" spans="1:36" x14ac:dyDescent="0.25">
      <c r="A115" s="44" t="s">
        <v>82</v>
      </c>
      <c r="B115" s="8"/>
      <c r="C115" s="8"/>
      <c r="D115" s="8"/>
      <c r="E115" s="8"/>
      <c r="F115" s="8"/>
      <c r="G115" s="8"/>
      <c r="H115" s="8"/>
      <c r="I115" s="8"/>
      <c r="J115" s="8">
        <v>2.5002325847605915</v>
      </c>
      <c r="K115" s="8">
        <v>361.7079</v>
      </c>
      <c r="L115" s="8">
        <v>0.2923281566487726</v>
      </c>
      <c r="M115" s="8">
        <v>4.4432582786564412</v>
      </c>
      <c r="N115" s="8">
        <f t="shared" si="5"/>
        <v>563861.02759007551</v>
      </c>
      <c r="O115" s="8">
        <v>99.522735945984607</v>
      </c>
      <c r="P115" s="8"/>
      <c r="Q115" s="8">
        <v>1.5742611360986105</v>
      </c>
      <c r="R115" s="8">
        <v>361.5421</v>
      </c>
      <c r="S115" s="8">
        <v>0.44801340149213037</v>
      </c>
      <c r="T115" s="8">
        <v>2.1427049999999999</v>
      </c>
      <c r="U115" s="8">
        <f t="shared" si="7"/>
        <v>447322.45641884749</v>
      </c>
      <c r="V115" s="8">
        <v>188.81647090938566</v>
      </c>
      <c r="W115" s="8"/>
      <c r="X115" s="8">
        <v>3.0123509542221223</v>
      </c>
      <c r="Y115" s="8">
        <v>691.81132974259617</v>
      </c>
      <c r="Z115" s="46">
        <v>0.19280257730064509</v>
      </c>
      <c r="AA115" s="8">
        <v>3.376306</v>
      </c>
      <c r="AB115" s="8">
        <f t="shared" si="10"/>
        <v>855952.16545693413</v>
      </c>
      <c r="AC115" s="8">
        <v>76.618809273092481</v>
      </c>
      <c r="AD115" s="8"/>
      <c r="AE115" s="8">
        <f>'DN300 PN10_Center III'!AF69</f>
        <v>1.5751407037879388</v>
      </c>
      <c r="AF115" s="8">
        <f>'DN300 PN10_Center III'!AG69</f>
        <v>361.7441</v>
      </c>
      <c r="AG115" s="8">
        <f>'DN300 PN10_Center III'!AL69</f>
        <v>0.53954777447761859</v>
      </c>
      <c r="AH115">
        <f>'DN300 PN10_Center III'!AI69</f>
        <v>2.5833689999999998</v>
      </c>
      <c r="AI115">
        <f t="shared" si="8"/>
        <v>447572.38342927472</v>
      </c>
      <c r="AJ115" s="8">
        <f>'DN300 PN10_Center III'!AM69</f>
        <v>219.96201005686143</v>
      </c>
    </row>
    <row r="116" spans="1:36" x14ac:dyDescent="0.25">
      <c r="A116" s="44" t="s">
        <v>82</v>
      </c>
      <c r="B116" s="8"/>
      <c r="C116" s="8"/>
      <c r="D116" s="8"/>
      <c r="E116" s="8"/>
      <c r="F116" s="8"/>
      <c r="G116" s="8"/>
      <c r="H116" s="8"/>
      <c r="I116" s="8"/>
      <c r="J116" s="8">
        <v>2.4851070955413261</v>
      </c>
      <c r="K116" s="8">
        <v>359.5197</v>
      </c>
      <c r="L116" s="8">
        <v>0.29539376009903101</v>
      </c>
      <c r="M116" s="8">
        <v>4.4356944731187609</v>
      </c>
      <c r="N116" s="8">
        <f t="shared" si="5"/>
        <v>560449.87538529199</v>
      </c>
      <c r="O116" s="8">
        <v>100.63139072679921</v>
      </c>
      <c r="P116" s="8"/>
      <c r="Q116" s="8">
        <v>1.5755186566366206</v>
      </c>
      <c r="R116" s="8">
        <v>361.83089999999999</v>
      </c>
      <c r="S116" s="8">
        <v>0.44005015075947357</v>
      </c>
      <c r="T116" s="8">
        <v>2.1079829999999999</v>
      </c>
      <c r="U116" s="8">
        <f t="shared" si="7"/>
        <v>447679.77780801285</v>
      </c>
      <c r="V116" s="8">
        <v>185.91360678677913</v>
      </c>
      <c r="W116" s="8"/>
      <c r="X116" s="8">
        <v>3.0176821447377442</v>
      </c>
      <c r="Y116" s="8">
        <v>693.03568177055433</v>
      </c>
      <c r="Z116" s="46">
        <v>0.19279863990882623</v>
      </c>
      <c r="AA116" s="8">
        <v>3.388198</v>
      </c>
      <c r="AB116" s="8">
        <f t="shared" si="10"/>
        <v>857467.01021959831</v>
      </c>
      <c r="AC116" s="8">
        <v>76.616757963004247</v>
      </c>
      <c r="AD116" s="8"/>
      <c r="AE116" s="8">
        <f>'DN300 PN10_Center III'!AF70</f>
        <v>1.5751407037879388</v>
      </c>
      <c r="AF116" s="8">
        <f>'DN300 PN10_Center III'!AG70</f>
        <v>361.7441</v>
      </c>
      <c r="AG116" s="8">
        <f>'DN300 PN10_Center III'!AL70</f>
        <v>0.53954777447761859</v>
      </c>
      <c r="AH116">
        <f>'DN300 PN10_Center III'!AI70</f>
        <v>2.5833689999999998</v>
      </c>
      <c r="AI116">
        <f t="shared" si="8"/>
        <v>447572.38342927472</v>
      </c>
      <c r="AJ116" s="8">
        <f>'DN300 PN10_Center III'!AM70</f>
        <v>219.96201005686143</v>
      </c>
    </row>
    <row r="117" spans="1:36" x14ac:dyDescent="0.25">
      <c r="A117" s="44" t="s">
        <v>82</v>
      </c>
      <c r="B117" s="8"/>
      <c r="C117" s="8"/>
      <c r="D117" s="8"/>
      <c r="E117" s="8"/>
      <c r="F117" s="8"/>
      <c r="G117" s="8"/>
      <c r="H117" s="8"/>
      <c r="I117" s="8"/>
      <c r="J117" s="8">
        <v>3.7472863837679804</v>
      </c>
      <c r="K117" s="8">
        <v>542.11879999999996</v>
      </c>
      <c r="L117" s="8">
        <v>0.30311424562907086</v>
      </c>
      <c r="M117" s="8">
        <v>10.349281658918244</v>
      </c>
      <c r="N117" s="8">
        <f t="shared" si="5"/>
        <v>845100.87737618852</v>
      </c>
      <c r="O117" s="8">
        <v>103.40106121144531</v>
      </c>
      <c r="P117" s="8"/>
      <c r="Q117" s="8">
        <v>2.3562852041099958</v>
      </c>
      <c r="R117" s="8">
        <v>541.1404</v>
      </c>
      <c r="S117" s="8">
        <v>0.36654573107981692</v>
      </c>
      <c r="T117" s="8">
        <v>3.9273690000000001</v>
      </c>
      <c r="U117" s="8">
        <f t="shared" si="7"/>
        <v>669532.68511600094</v>
      </c>
      <c r="V117" s="8">
        <v>157.46627528969191</v>
      </c>
      <c r="W117" s="8"/>
      <c r="X117" s="8">
        <v>3.8784915615345099</v>
      </c>
      <c r="Y117" s="8">
        <v>890.72768922222235</v>
      </c>
      <c r="Z117" s="46">
        <v>0.17683249916725691</v>
      </c>
      <c r="AA117" s="8">
        <v>5.1334060261632928</v>
      </c>
      <c r="AB117" s="8">
        <f t="shared" si="10"/>
        <v>1102063.9033273535</v>
      </c>
      <c r="AC117" s="8">
        <v>68.238131389321168</v>
      </c>
      <c r="AD117" s="8"/>
      <c r="AE117" s="8">
        <f>'DN300 PN10_Center III'!AF71</f>
        <v>2.3600281565146823</v>
      </c>
      <c r="AF117" s="8">
        <f>'DN300 PN10_Center III'!AG71</f>
        <v>542</v>
      </c>
      <c r="AG117" s="8">
        <f>'DN300 PN10_Center III'!AL71</f>
        <v>0.34981275969693609</v>
      </c>
      <c r="AH117">
        <f>'DN300 PN10_Center III'!AI71</f>
        <v>3.76</v>
      </c>
      <c r="AI117">
        <f t="shared" si="8"/>
        <v>670596.23589898751</v>
      </c>
      <c r="AJ117" s="8">
        <f>'DN300 PN10_Center III'!AM71</f>
        <v>150.54494298885547</v>
      </c>
    </row>
    <row r="118" spans="1:36" x14ac:dyDescent="0.25">
      <c r="A118" s="44" t="s">
        <v>82</v>
      </c>
      <c r="B118" s="8"/>
      <c r="C118" s="8"/>
      <c r="D118" s="8"/>
      <c r="E118" s="8"/>
      <c r="F118" s="8"/>
      <c r="G118" s="8"/>
      <c r="H118" s="8"/>
      <c r="I118" s="8"/>
      <c r="J118" s="8">
        <v>3.7473485944447802</v>
      </c>
      <c r="K118" s="8">
        <v>542.12779999999998</v>
      </c>
      <c r="L118" s="8">
        <v>0.3049418735527748</v>
      </c>
      <c r="M118" s="8">
        <v>10.412028375008516</v>
      </c>
      <c r="N118" s="8">
        <f t="shared" si="5"/>
        <v>845114.90734138503</v>
      </c>
      <c r="O118" s="8">
        <v>104.05203564763717</v>
      </c>
      <c r="P118" s="8"/>
      <c r="Q118" s="8">
        <v>2.3588128726429418</v>
      </c>
      <c r="R118" s="8">
        <v>541.72090000000003</v>
      </c>
      <c r="S118" s="8">
        <v>0.36703592078815478</v>
      </c>
      <c r="T118" s="8">
        <v>3.9410630000000002</v>
      </c>
      <c r="U118" s="8">
        <f t="shared" si="7"/>
        <v>670250.91595537239</v>
      </c>
      <c r="V118" s="8">
        <v>157.66642535109628</v>
      </c>
      <c r="W118" s="8"/>
      <c r="X118" s="8">
        <v>3.8699350987167453</v>
      </c>
      <c r="Y118" s="8">
        <v>888.76262671463041</v>
      </c>
      <c r="Z118" s="46">
        <v>0.17662695211507595</v>
      </c>
      <c r="AA118" s="8">
        <v>5.1048403880574522</v>
      </c>
      <c r="AB118" s="8">
        <f t="shared" si="10"/>
        <v>1099632.6053183174</v>
      </c>
      <c r="AC118" s="8">
        <v>68.129542851994131</v>
      </c>
      <c r="AD118" s="8"/>
      <c r="AE118" s="8">
        <f>'DN300 PN10_Center III'!AF72</f>
        <v>2.3545474047792485</v>
      </c>
      <c r="AF118" s="8">
        <f>'DN300 PN10_Center III'!AG72</f>
        <v>540.74130000000002</v>
      </c>
      <c r="AG118" s="8">
        <f>'DN300 PN10_Center III'!AL72</f>
        <v>0.3526400644459064</v>
      </c>
      <c r="AH118">
        <f>'DN300 PN10_Center III'!AI72</f>
        <v>3.772805</v>
      </c>
      <c r="AI118">
        <f t="shared" si="8"/>
        <v>669038.89368104271</v>
      </c>
      <c r="AJ118" s="8">
        <f>'DN300 PN10_Center III'!AM72</f>
        <v>151.72666988857193</v>
      </c>
    </row>
    <row r="119" spans="1:36" x14ac:dyDescent="0.25">
      <c r="A119" s="44" t="s">
        <v>82</v>
      </c>
      <c r="B119" s="8"/>
      <c r="C119" s="8"/>
      <c r="D119" s="8"/>
      <c r="E119" s="8"/>
      <c r="F119" s="8"/>
      <c r="G119" s="8"/>
      <c r="H119" s="8"/>
      <c r="I119" s="8"/>
      <c r="J119" s="8"/>
      <c r="K119" s="8"/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8"/>
      <c r="X119" s="8"/>
      <c r="Y119" s="8"/>
      <c r="Z119" s="46"/>
      <c r="AA119" s="8"/>
      <c r="AB119" s="8"/>
      <c r="AC119" s="8"/>
      <c r="AD119" s="8"/>
      <c r="AE119" s="8">
        <f>'DN300 PN10_Center III'!AF73</f>
        <v>3.0174379481370512</v>
      </c>
      <c r="AF119" s="8">
        <f>'DN300 PN10_Center III'!AG73</f>
        <v>692.9796</v>
      </c>
      <c r="AG119" s="8">
        <f>'DN300 PN10_Center III'!AL73</f>
        <v>0.38719880662757861</v>
      </c>
      <c r="AH119">
        <f>'DN300 PN10_Center III'!AI73</f>
        <v>6.8034396275644253</v>
      </c>
      <c r="AI119">
        <f t="shared" si="8"/>
        <v>857397.62235200359</v>
      </c>
      <c r="AJ119" s="8">
        <f>'DN300 PN10_Center III'!AM73</f>
        <v>165.77342585358068</v>
      </c>
    </row>
    <row r="120" spans="1:36" x14ac:dyDescent="0.25">
      <c r="A120" s="44" t="s">
        <v>82</v>
      </c>
      <c r="B120" s="8"/>
      <c r="C120" s="8"/>
      <c r="D120" s="8"/>
      <c r="E120" s="8"/>
      <c r="F120" s="8"/>
      <c r="G120" s="8"/>
      <c r="H120" s="8"/>
      <c r="I120" s="8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8"/>
      <c r="X120" s="8"/>
      <c r="Y120" s="8"/>
      <c r="Z120" s="46"/>
      <c r="AA120" s="8"/>
      <c r="AB120" s="8"/>
      <c r="AC120" s="8"/>
      <c r="AD120" s="8"/>
      <c r="AE120" s="8">
        <f>'DN300 PN10_Center III'!AF74</f>
        <v>3.0174379481370512</v>
      </c>
      <c r="AF120" s="8">
        <f>'DN300 PN10_Center III'!AG74</f>
        <v>692.9796</v>
      </c>
      <c r="AG120" s="8">
        <f>'DN300 PN10_Center III'!AL74</f>
        <v>0.38719880662757861</v>
      </c>
      <c r="AH120">
        <f>'DN300 PN10_Center III'!AI74</f>
        <v>6.8034396275644253</v>
      </c>
      <c r="AI120">
        <f t="shared" si="8"/>
        <v>857397.62235200359</v>
      </c>
      <c r="AJ120" s="8">
        <f>'DN300 PN10_Center III'!AM74</f>
        <v>165.77342585358068</v>
      </c>
    </row>
    <row r="121" spans="1:36" x14ac:dyDescent="0.25">
      <c r="A121" s="44" t="s">
        <v>82</v>
      </c>
      <c r="B121" s="8"/>
      <c r="C121" s="8"/>
      <c r="D121" s="8"/>
      <c r="E121" s="8"/>
      <c r="F121" s="8"/>
      <c r="G121" s="8"/>
      <c r="H121" s="8"/>
      <c r="I121" s="8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8"/>
      <c r="X121" s="8"/>
      <c r="Y121" s="8"/>
      <c r="Z121" s="46"/>
      <c r="AA121" s="8"/>
      <c r="AB121" s="8"/>
      <c r="AC121" s="8"/>
      <c r="AD121" s="8"/>
      <c r="AE121" s="8">
        <f>'DN300 PN10_Center III'!AF75</f>
        <v>3.9221155532775294</v>
      </c>
      <c r="AF121" s="8">
        <f>'DN300 PN10_Center III'!AG75</f>
        <v>900.74630000000002</v>
      </c>
      <c r="AG121" s="8">
        <f>'DN300 PN10_Center III'!AL75</f>
        <v>0.27708647487664417</v>
      </c>
      <c r="AH121">
        <f>'DN300 PN10_Center III'!AI75</f>
        <v>8.2257200795421497</v>
      </c>
      <c r="AI121">
        <f t="shared" si="8"/>
        <v>1114459.55402203</v>
      </c>
      <c r="AJ121" s="8">
        <f>'DN300 PN10_Center III'!AM75</f>
        <v>118.35335908471654</v>
      </c>
    </row>
    <row r="122" spans="1:36" x14ac:dyDescent="0.25">
      <c r="A122" s="44" t="s">
        <v>82</v>
      </c>
      <c r="B122" s="8"/>
      <c r="C122" s="8"/>
      <c r="D122" s="8"/>
      <c r="E122" s="8"/>
      <c r="F122" s="8"/>
      <c r="G122" s="8"/>
      <c r="H122" s="8"/>
      <c r="I122" s="8"/>
      <c r="J122" s="8"/>
      <c r="K122" s="8"/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8"/>
      <c r="X122" s="8"/>
      <c r="Y122" s="8"/>
      <c r="Z122" s="46"/>
      <c r="AA122" s="8"/>
      <c r="AB122" s="8"/>
      <c r="AC122" s="8"/>
      <c r="AD122" s="8"/>
      <c r="AE122" s="8">
        <f>'DN300 PN10_Center III'!AF76</f>
        <v>3.9221155532775294</v>
      </c>
      <c r="AF122" s="8">
        <f>'DN300 PN10_Center III'!AG76</f>
        <v>900.74630000000002</v>
      </c>
      <c r="AG122" s="8">
        <f>'DN300 PN10_Center III'!AL76</f>
        <v>0.27708647487664417</v>
      </c>
      <c r="AH122">
        <f>'DN300 PN10_Center III'!AI76</f>
        <v>8.2257200795421497</v>
      </c>
      <c r="AI122">
        <f t="shared" si="8"/>
        <v>1114459.55402203</v>
      </c>
      <c r="AJ122" s="8">
        <f>'DN300 PN10_Center III'!AM76</f>
        <v>118.35335908471654</v>
      </c>
    </row>
    <row r="123" spans="1:36" s="76" customFormat="1" x14ac:dyDescent="0.25">
      <c r="A123" s="79" t="s">
        <v>83</v>
      </c>
      <c r="B123" s="77"/>
      <c r="C123" s="77"/>
      <c r="D123" s="77"/>
      <c r="E123" s="77"/>
      <c r="F123" s="77"/>
      <c r="G123" s="77"/>
      <c r="H123" s="77"/>
      <c r="I123" s="77"/>
      <c r="J123" s="77"/>
      <c r="K123" s="77"/>
      <c r="L123" s="77"/>
      <c r="M123" s="77"/>
      <c r="N123" s="77"/>
      <c r="O123" s="77"/>
      <c r="P123" s="77"/>
      <c r="Q123" s="77"/>
      <c r="R123" s="77"/>
      <c r="S123" s="77"/>
      <c r="T123" s="77"/>
      <c r="U123" s="77"/>
      <c r="V123" s="77"/>
      <c r="W123" s="77"/>
      <c r="X123" s="77"/>
      <c r="Y123" s="77"/>
      <c r="Z123" s="77"/>
      <c r="AA123" s="77"/>
      <c r="AB123" s="77"/>
      <c r="AC123" s="77"/>
      <c r="AD123" s="77"/>
      <c r="AE123" s="77">
        <f>'DN300 PN10_Center III'!AF77</f>
        <v>5.2210049464657944</v>
      </c>
      <c r="AF123" s="77">
        <f>'DN300 PN10_Center III'!AG77</f>
        <v>1199.047</v>
      </c>
      <c r="AG123" s="77">
        <f>'DN300 PN10_Center III'!AL77</f>
        <v>0.23164788823132668</v>
      </c>
      <c r="AH123" s="76">
        <f>'DN300 PN10_Center III'!AI77</f>
        <v>12.185809491134403</v>
      </c>
      <c r="AI123" s="76">
        <f t="shared" si="8"/>
        <v>1483535.8023357443</v>
      </c>
      <c r="AJ123" s="77">
        <f>'DN300 PN10_Center III'!AM77</f>
        <v>96.42495342972019</v>
      </c>
    </row>
    <row r="124" spans="1:36" s="76" customFormat="1" x14ac:dyDescent="0.25">
      <c r="A124" s="79" t="s">
        <v>83</v>
      </c>
      <c r="B124" s="77"/>
      <c r="C124" s="77"/>
      <c r="D124" s="77"/>
      <c r="E124" s="77"/>
      <c r="F124" s="77"/>
      <c r="G124" s="77"/>
      <c r="H124" s="77"/>
      <c r="I124" s="77"/>
      <c r="J124" s="77"/>
      <c r="K124" s="77"/>
      <c r="L124" s="77"/>
      <c r="M124" s="77"/>
      <c r="N124" s="77"/>
      <c r="O124" s="77"/>
      <c r="P124" s="77"/>
      <c r="Q124" s="77"/>
      <c r="R124" s="77"/>
      <c r="S124" s="77"/>
      <c r="T124" s="77"/>
      <c r="U124" s="77"/>
      <c r="V124" s="77"/>
      <c r="W124" s="77"/>
      <c r="X124" s="77"/>
      <c r="Y124" s="77"/>
      <c r="Z124" s="77"/>
      <c r="AA124" s="77"/>
      <c r="AB124" s="77"/>
      <c r="AC124" s="77"/>
      <c r="AD124" s="77"/>
      <c r="AE124" s="77">
        <f>'DN300 PN10_Center III'!AF78</f>
        <v>5.2210049464657944</v>
      </c>
      <c r="AF124" s="77">
        <f>'DN300 PN10_Center III'!AG78</f>
        <v>1199.047</v>
      </c>
      <c r="AG124" s="77">
        <f>'DN300 PN10_Center III'!AL78</f>
        <v>0.23164788823132668</v>
      </c>
      <c r="AH124" s="76">
        <f>'DN300 PN10_Center III'!AI78</f>
        <v>12.185809491134403</v>
      </c>
      <c r="AI124" s="76">
        <f t="shared" si="8"/>
        <v>1483535.8023357443</v>
      </c>
      <c r="AJ124" s="77">
        <f>'DN300 PN10_Center III'!AM78</f>
        <v>96.42495342972019</v>
      </c>
    </row>
    <row r="125" spans="1:36" s="76" customFormat="1" x14ac:dyDescent="0.25">
      <c r="A125" s="79" t="s">
        <v>83</v>
      </c>
      <c r="B125" s="77"/>
      <c r="C125" s="77"/>
      <c r="D125" s="77"/>
      <c r="E125" s="77"/>
      <c r="F125" s="77"/>
      <c r="G125" s="77"/>
      <c r="H125" s="77"/>
      <c r="I125" s="77"/>
      <c r="J125" s="77"/>
      <c r="K125" s="77"/>
      <c r="L125" s="77"/>
      <c r="M125" s="77"/>
      <c r="N125" s="77"/>
      <c r="O125" s="77"/>
      <c r="P125" s="77"/>
      <c r="Q125" s="77"/>
      <c r="R125" s="77"/>
      <c r="S125" s="77"/>
      <c r="T125" s="77"/>
      <c r="U125" s="77"/>
      <c r="V125" s="77"/>
      <c r="W125" s="77"/>
      <c r="X125" s="77"/>
      <c r="Y125" s="77"/>
      <c r="Z125" s="77"/>
      <c r="AA125" s="77"/>
      <c r="AB125" s="77"/>
      <c r="AC125" s="77"/>
      <c r="AD125" s="77"/>
      <c r="AE125" s="77">
        <f>'DN300 PN10_Center III'!AF79</f>
        <v>6.5868472934234612</v>
      </c>
      <c r="AF125" s="77">
        <f>'DN300 PN10_Center III'!AG79</f>
        <v>1512.7239999999999</v>
      </c>
      <c r="AG125" s="77">
        <f>'DN300 PN10_Center III'!AL79</f>
        <v>0.20925319821482069</v>
      </c>
      <c r="AH125" s="76">
        <f>'DN300 PN10_Center III'!AI79</f>
        <v>17.520444656820381</v>
      </c>
      <c r="AI125" s="76">
        <f t="shared" si="8"/>
        <v>1871636.5689189297</v>
      </c>
      <c r="AJ125" s="77">
        <f>'DN300 PN10_Center III'!AM79</f>
        <v>85.116131620452535</v>
      </c>
    </row>
    <row r="126" spans="1:36" s="76" customFormat="1" x14ac:dyDescent="0.25">
      <c r="A126" s="79" t="s">
        <v>83</v>
      </c>
      <c r="B126" s="77"/>
      <c r="C126" s="77"/>
      <c r="D126" s="77"/>
      <c r="E126" s="77"/>
      <c r="F126" s="77"/>
      <c r="G126" s="77"/>
      <c r="H126" s="77"/>
      <c r="I126" s="77"/>
      <c r="J126" s="77"/>
      <c r="K126" s="77"/>
      <c r="L126" s="77"/>
      <c r="M126" s="77"/>
      <c r="N126" s="77"/>
      <c r="O126" s="77"/>
      <c r="P126" s="77"/>
      <c r="Q126" s="77"/>
      <c r="R126" s="77"/>
      <c r="S126" s="77"/>
      <c r="T126" s="77"/>
      <c r="U126" s="77"/>
      <c r="V126" s="77"/>
      <c r="W126" s="77"/>
      <c r="X126" s="77"/>
      <c r="Y126" s="77"/>
      <c r="Z126" s="77"/>
      <c r="AA126" s="77"/>
      <c r="AB126" s="77"/>
      <c r="AC126" s="77"/>
      <c r="AD126" s="77"/>
      <c r="AE126" s="77">
        <f>'DN300 PN10_Center III'!AF80</f>
        <v>6.5868472934234612</v>
      </c>
      <c r="AF126" s="77">
        <f>'DN300 PN10_Center III'!AG80</f>
        <v>1512.7239999999999</v>
      </c>
      <c r="AG126" s="77">
        <f>'DN300 PN10_Center III'!AL80</f>
        <v>0.20925319821482069</v>
      </c>
      <c r="AH126" s="76">
        <f>'DN300 PN10_Center III'!AI80</f>
        <v>17.520444656820381</v>
      </c>
      <c r="AI126" s="76">
        <f t="shared" si="8"/>
        <v>1871636.5689189297</v>
      </c>
      <c r="AJ126" s="77">
        <f>'DN300 PN10_Center III'!AM80</f>
        <v>85.116131620452535</v>
      </c>
    </row>
    <row r="127" spans="1:36" s="76" customFormat="1" x14ac:dyDescent="0.25">
      <c r="A127" s="79" t="s">
        <v>83</v>
      </c>
      <c r="B127" s="77"/>
      <c r="C127" s="77"/>
      <c r="D127" s="77"/>
      <c r="E127" s="77"/>
      <c r="F127" s="77"/>
      <c r="G127" s="77"/>
      <c r="H127" s="77"/>
      <c r="I127" s="77"/>
      <c r="J127" s="77"/>
      <c r="K127" s="77"/>
      <c r="L127" s="77"/>
      <c r="M127" s="77"/>
      <c r="N127" s="77"/>
      <c r="O127" s="77"/>
      <c r="P127" s="77"/>
      <c r="Q127" s="77"/>
      <c r="R127" s="77"/>
      <c r="S127" s="77"/>
      <c r="T127" s="77"/>
      <c r="U127" s="77"/>
      <c r="V127" s="77"/>
      <c r="W127" s="77"/>
      <c r="X127" s="77"/>
      <c r="Y127" s="77"/>
      <c r="Z127" s="77"/>
      <c r="AA127" s="77"/>
      <c r="AB127" s="77"/>
      <c r="AC127" s="77"/>
      <c r="AD127" s="77"/>
      <c r="AE127" s="77"/>
      <c r="AF127" s="77"/>
      <c r="AG127" s="77"/>
      <c r="AJ127" s="77"/>
    </row>
    <row r="128" spans="1:36" x14ac:dyDescent="0.25">
      <c r="A128" s="44" t="s">
        <v>84</v>
      </c>
      <c r="B128" s="8">
        <v>1.2189648122579506</v>
      </c>
      <c r="C128" s="8">
        <v>100.07433942026512</v>
      </c>
      <c r="D128" s="8">
        <v>0.31191407226878448</v>
      </c>
      <c r="E128" s="8">
        <v>1.4959270176248545</v>
      </c>
      <c r="F128" s="8">
        <f t="shared" si="6"/>
        <v>207090.33300972564</v>
      </c>
      <c r="G128" s="8">
        <v>80.242496321839766</v>
      </c>
      <c r="H128" s="8"/>
      <c r="I128" s="8"/>
      <c r="J128" s="8"/>
      <c r="K128" s="8"/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8"/>
      <c r="X128" s="8"/>
      <c r="Y128" s="8"/>
      <c r="Z128" s="8"/>
      <c r="AA128" s="8"/>
      <c r="AB128" s="8"/>
      <c r="AC128" s="8"/>
      <c r="AD128" s="8"/>
    </row>
    <row r="129" spans="1:30" x14ac:dyDescent="0.25">
      <c r="A129" s="44" t="s">
        <v>84</v>
      </c>
      <c r="B129" s="8">
        <v>3.0185785675326153</v>
      </c>
      <c r="C129" s="8">
        <v>247.8186844248886</v>
      </c>
      <c r="D129" s="8">
        <v>0.22655759162214273</v>
      </c>
      <c r="E129" s="8">
        <v>6.6631054540352856</v>
      </c>
      <c r="F129" s="8">
        <f t="shared" si="6"/>
        <v>512827.30598958896</v>
      </c>
      <c r="G129" s="8">
        <v>56.131735830524718</v>
      </c>
      <c r="H129" s="8"/>
      <c r="I129" s="8"/>
      <c r="J129" s="8"/>
      <c r="K129" s="8"/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8"/>
      <c r="X129" s="8"/>
      <c r="Y129" s="8"/>
      <c r="Z129" s="8"/>
      <c r="AA129" s="8"/>
      <c r="AB129" s="8"/>
      <c r="AC129" s="8"/>
      <c r="AD129" s="8"/>
    </row>
    <row r="130" spans="1:30" x14ac:dyDescent="0.25">
      <c r="A130" s="44" t="s">
        <v>84</v>
      </c>
      <c r="B130" s="8">
        <v>6.1149548403609497</v>
      </c>
      <c r="C130" s="8">
        <v>502.02438994143608</v>
      </c>
      <c r="D130" s="8">
        <v>0.2222188046534373</v>
      </c>
      <c r="E130" s="8">
        <v>26.820101329594241</v>
      </c>
      <c r="F130" s="8">
        <f t="shared" si="6"/>
        <v>1038871.6897283209</v>
      </c>
      <c r="G130" s="8">
        <v>54.828073543787163</v>
      </c>
      <c r="H130" s="8"/>
      <c r="I130" s="8"/>
      <c r="J130" s="8"/>
      <c r="K130" s="8"/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8"/>
      <c r="X130" s="8"/>
      <c r="Y130" s="8"/>
      <c r="Z130" s="8"/>
      <c r="AA130" s="8"/>
      <c r="AB130" s="8"/>
      <c r="AC130" s="8"/>
      <c r="AD130" s="8"/>
    </row>
    <row r="131" spans="1:30" x14ac:dyDescent="0.25">
      <c r="A131" s="44" t="s">
        <v>84</v>
      </c>
      <c r="B131" s="8">
        <v>9.1398195598442218</v>
      </c>
      <c r="C131" s="8">
        <v>750.35915366380016</v>
      </c>
      <c r="D131" s="8">
        <v>0.21841689212483392</v>
      </c>
      <c r="E131" s="8">
        <v>58.891764405344581</v>
      </c>
      <c r="F131" s="8">
        <f t="shared" si="6"/>
        <v>1552766.9521410323</v>
      </c>
      <c r="G131" s="8">
        <v>53.679870137908686</v>
      </c>
      <c r="H131" s="8"/>
      <c r="I131" s="8"/>
      <c r="J131" s="8"/>
      <c r="K131" s="8"/>
      <c r="L131" s="8"/>
      <c r="M131" s="8"/>
      <c r="N131" s="8"/>
      <c r="O131" s="8"/>
      <c r="P131" s="8"/>
      <c r="Q131" s="8"/>
      <c r="R131" s="8"/>
      <c r="S131" s="8"/>
      <c r="T131" s="8"/>
      <c r="U131" s="8"/>
      <c r="V131" s="8"/>
      <c r="W131" s="8"/>
      <c r="X131" s="8"/>
      <c r="Y131" s="8"/>
      <c r="Z131" s="8"/>
      <c r="AA131" s="8"/>
      <c r="AB131" s="8"/>
      <c r="AC131" s="8"/>
      <c r="AD131" s="8"/>
    </row>
    <row r="132" spans="1:30" x14ac:dyDescent="0.25">
      <c r="A132" s="44" t="s">
        <v>84</v>
      </c>
      <c r="B132" s="8">
        <v>12.238162774537612</v>
      </c>
      <c r="C132" s="8">
        <v>1004.726340796424</v>
      </c>
      <c r="D132" s="8">
        <v>0.21119604813515175</v>
      </c>
      <c r="E132" s="8">
        <v>102.09661352693148</v>
      </c>
      <c r="F132" s="8">
        <f t="shared" si="6"/>
        <v>2079145.5002803681</v>
      </c>
      <c r="G132" s="8">
        <v>51.484415398137813</v>
      </c>
      <c r="H132" s="8"/>
      <c r="I132" s="8"/>
      <c r="J132" s="8"/>
      <c r="K132" s="8"/>
      <c r="L132" s="8"/>
      <c r="M132" s="8"/>
      <c r="N132" s="8"/>
      <c r="O132" s="8"/>
      <c r="P132" s="8"/>
      <c r="Q132" s="8"/>
      <c r="R132" s="8"/>
      <c r="S132" s="8"/>
      <c r="T132" s="8"/>
      <c r="U132" s="8"/>
      <c r="V132" s="8"/>
      <c r="W132" s="8"/>
      <c r="X132" s="8"/>
      <c r="Y132" s="8"/>
      <c r="Z132" s="8"/>
      <c r="AA132" s="8"/>
      <c r="AB132" s="8"/>
      <c r="AC132" s="8"/>
      <c r="AD132" s="8"/>
    </row>
    <row r="133" spans="1:30" s="76" customFormat="1" x14ac:dyDescent="0.25">
      <c r="A133" s="79" t="s">
        <v>85</v>
      </c>
      <c r="B133" s="77">
        <v>0.72982030271067866</v>
      </c>
      <c r="C133" s="77">
        <v>59.91664726890702</v>
      </c>
      <c r="D133" s="77">
        <v>0.6264009682899081</v>
      </c>
      <c r="E133" s="77">
        <v>1.0769050187405576</v>
      </c>
      <c r="F133" s="77">
        <f t="shared" ref="F133:F137" si="11">B133*170.4/1000/0.000001003</f>
        <v>123989.41134785609</v>
      </c>
      <c r="G133" s="77">
        <v>147.20529540553403</v>
      </c>
      <c r="H133" s="77"/>
      <c r="I133" s="77"/>
      <c r="J133" s="77"/>
      <c r="K133" s="77"/>
      <c r="L133" s="77"/>
      <c r="M133" s="77"/>
      <c r="N133" s="77"/>
      <c r="O133" s="77"/>
      <c r="P133" s="77"/>
      <c r="Q133" s="77"/>
      <c r="R133" s="77"/>
      <c r="S133" s="77"/>
      <c r="T133" s="77"/>
      <c r="U133" s="77"/>
      <c r="V133" s="77"/>
      <c r="W133" s="77"/>
      <c r="X133" s="77"/>
      <c r="Y133" s="77"/>
      <c r="Z133" s="77"/>
      <c r="AA133" s="77"/>
      <c r="AB133" s="77"/>
      <c r="AC133" s="77"/>
      <c r="AD133" s="77"/>
    </row>
    <row r="134" spans="1:30" s="76" customFormat="1" x14ac:dyDescent="0.25">
      <c r="A134" s="79" t="s">
        <v>85</v>
      </c>
      <c r="B134" s="77">
        <v>2.5805387082365505</v>
      </c>
      <c r="C134" s="77">
        <v>211.85657205053803</v>
      </c>
      <c r="D134" s="77">
        <v>0.4858390102056474</v>
      </c>
      <c r="E134" s="77">
        <v>10.44254218070259</v>
      </c>
      <c r="F134" s="77">
        <f t="shared" si="11"/>
        <v>438408.57017298928</v>
      </c>
      <c r="G134" s="77">
        <v>120.87412845259287</v>
      </c>
      <c r="H134" s="77"/>
      <c r="I134" s="77"/>
      <c r="J134" s="77"/>
      <c r="K134" s="77"/>
      <c r="L134" s="77"/>
      <c r="M134" s="77"/>
      <c r="N134" s="77"/>
      <c r="O134" s="77"/>
      <c r="P134" s="77"/>
      <c r="Q134" s="77"/>
      <c r="R134" s="77"/>
      <c r="S134" s="77"/>
      <c r="T134" s="77"/>
      <c r="U134" s="77"/>
      <c r="V134" s="77"/>
      <c r="W134" s="77"/>
      <c r="X134" s="77"/>
      <c r="Y134" s="77"/>
      <c r="Z134" s="77"/>
      <c r="AA134" s="77"/>
      <c r="AB134" s="77"/>
      <c r="AC134" s="77"/>
      <c r="AD134" s="77"/>
    </row>
    <row r="135" spans="1:30" s="76" customFormat="1" x14ac:dyDescent="0.25">
      <c r="A135" s="79" t="s">
        <v>85</v>
      </c>
      <c r="B135" s="77">
        <v>4.9025596693939697</v>
      </c>
      <c r="C135" s="77">
        <v>402.48940367214846</v>
      </c>
      <c r="D135" s="77">
        <v>0.46377467589357713</v>
      </c>
      <c r="E135" s="77">
        <v>35.978736360354162</v>
      </c>
      <c r="F135" s="77">
        <f t="shared" si="11"/>
        <v>832897.47523901542</v>
      </c>
      <c r="G135" s="77">
        <v>116.27002057456612</v>
      </c>
      <c r="H135" s="77"/>
      <c r="I135" s="77"/>
      <c r="J135" s="77"/>
      <c r="K135" s="77"/>
      <c r="L135" s="77"/>
      <c r="M135" s="77"/>
      <c r="N135" s="77"/>
      <c r="O135" s="77"/>
      <c r="P135" s="77"/>
      <c r="Q135" s="77"/>
      <c r="R135" s="77"/>
      <c r="S135" s="77"/>
      <c r="T135" s="77"/>
      <c r="U135" s="77"/>
      <c r="V135" s="77"/>
      <c r="W135" s="77"/>
      <c r="X135" s="77"/>
      <c r="Y135" s="77"/>
      <c r="Z135" s="77"/>
      <c r="AA135" s="77"/>
      <c r="AB135" s="77"/>
      <c r="AC135" s="77"/>
      <c r="AD135" s="77"/>
    </row>
    <row r="136" spans="1:30" s="76" customFormat="1" x14ac:dyDescent="0.25">
      <c r="A136" s="79" t="s">
        <v>85</v>
      </c>
      <c r="B136" s="77">
        <v>6.6905363861735552</v>
      </c>
      <c r="C136" s="77">
        <v>549.27837332180491</v>
      </c>
      <c r="D136" s="77">
        <v>0.45819344830110503</v>
      </c>
      <c r="E136" s="77">
        <v>66.200893011657925</v>
      </c>
      <c r="F136" s="77">
        <f t="shared" si="11"/>
        <v>1136657.4279202132</v>
      </c>
      <c r="G136" s="77">
        <v>115.08259304818054</v>
      </c>
      <c r="H136" s="77"/>
      <c r="I136" s="77"/>
      <c r="J136" s="77"/>
      <c r="K136" s="77"/>
      <c r="L136" s="77"/>
      <c r="M136" s="77"/>
      <c r="N136" s="77"/>
      <c r="O136" s="77"/>
      <c r="P136" s="77"/>
      <c r="Q136" s="77"/>
      <c r="R136" s="77"/>
      <c r="S136" s="77"/>
      <c r="T136" s="77"/>
      <c r="U136" s="77"/>
      <c r="V136" s="77"/>
      <c r="W136" s="77"/>
      <c r="X136" s="77"/>
      <c r="Y136" s="77"/>
      <c r="Z136" s="77"/>
      <c r="AA136" s="77"/>
      <c r="AB136" s="77"/>
      <c r="AC136" s="77"/>
      <c r="AD136" s="77"/>
    </row>
    <row r="137" spans="1:30" s="76" customFormat="1" x14ac:dyDescent="0.25">
      <c r="A137" s="79" t="s">
        <v>85</v>
      </c>
      <c r="B137" s="77">
        <v>8.4662666870847882</v>
      </c>
      <c r="C137" s="77">
        <v>695.06193906975147</v>
      </c>
      <c r="D137" s="77">
        <v>0.45305590206039664</v>
      </c>
      <c r="E137" s="77">
        <v>104.81628928742016</v>
      </c>
      <c r="F137" s="77">
        <f t="shared" si="11"/>
        <v>1438336.8329803071</v>
      </c>
      <c r="G137" s="77">
        <v>113.9812252651372</v>
      </c>
      <c r="H137" s="77"/>
      <c r="I137" s="77"/>
      <c r="J137" s="77"/>
      <c r="K137" s="77"/>
      <c r="L137" s="77"/>
      <c r="M137" s="77"/>
      <c r="N137" s="77"/>
      <c r="O137" s="77"/>
      <c r="P137" s="77"/>
      <c r="Q137" s="77"/>
      <c r="R137" s="77"/>
      <c r="S137" s="77"/>
      <c r="T137" s="77"/>
      <c r="U137" s="77"/>
      <c r="V137" s="77"/>
      <c r="W137" s="77"/>
      <c r="X137" s="77"/>
      <c r="Y137" s="77"/>
      <c r="Z137" s="77"/>
      <c r="AA137" s="77"/>
      <c r="AB137" s="77"/>
      <c r="AC137" s="77"/>
      <c r="AD137" s="77"/>
    </row>
    <row r="138" spans="1:30" x14ac:dyDescent="0.25">
      <c r="B138" s="8"/>
      <c r="C138" s="8"/>
      <c r="D138" s="8"/>
      <c r="E138" s="8"/>
      <c r="F138" s="8"/>
      <c r="G138" s="8"/>
      <c r="H138" s="8"/>
      <c r="I138" s="8"/>
      <c r="J138" s="8"/>
      <c r="K138" s="8"/>
      <c r="L138" s="8"/>
      <c r="M138" s="8"/>
      <c r="N138" s="8"/>
      <c r="O138" s="8"/>
      <c r="P138" s="8"/>
      <c r="Q138" s="8"/>
      <c r="R138" s="8"/>
      <c r="S138" s="8"/>
      <c r="T138" s="8"/>
      <c r="U138" s="8"/>
      <c r="V138" s="8"/>
      <c r="W138" s="8"/>
      <c r="X138" s="8"/>
      <c r="Y138" s="8"/>
      <c r="Z138" s="8"/>
      <c r="AA138" s="8"/>
      <c r="AB138" s="8"/>
      <c r="AC138" s="8"/>
      <c r="AD138" s="8"/>
    </row>
    <row r="139" spans="1:30" x14ac:dyDescent="0.25">
      <c r="B139" s="8"/>
      <c r="C139" s="8"/>
      <c r="D139" s="8"/>
      <c r="E139" s="8"/>
      <c r="F139" s="8"/>
      <c r="G139" s="8"/>
      <c r="H139" s="8"/>
      <c r="I139" s="8"/>
      <c r="J139" s="8"/>
      <c r="K139" s="8"/>
      <c r="L139" s="8"/>
      <c r="M139" s="8"/>
      <c r="N139" s="8"/>
      <c r="O139" s="8"/>
      <c r="P139" s="8"/>
      <c r="Q139" s="8"/>
      <c r="R139" s="8"/>
      <c r="S139" s="8"/>
      <c r="T139" s="8"/>
      <c r="U139" s="8"/>
      <c r="V139" s="8"/>
      <c r="W139" s="8"/>
      <c r="X139" s="8"/>
      <c r="Y139" s="8"/>
      <c r="Z139" s="8"/>
      <c r="AA139" s="8"/>
      <c r="AB139" s="8"/>
      <c r="AC139" s="8"/>
      <c r="AD139" s="8"/>
    </row>
    <row r="140" spans="1:30" x14ac:dyDescent="0.25">
      <c r="B140" s="8"/>
      <c r="C140" s="8"/>
      <c r="D140" s="8"/>
      <c r="E140" s="8"/>
      <c r="F140" s="8"/>
      <c r="G140" s="8"/>
      <c r="H140" s="8"/>
      <c r="I140" s="8"/>
      <c r="J140" s="8"/>
      <c r="K140" s="8"/>
      <c r="L140" s="8"/>
      <c r="M140" s="8"/>
      <c r="N140" s="8"/>
      <c r="O140" s="8"/>
      <c r="P140" s="8"/>
      <c r="Q140" s="8"/>
      <c r="R140" s="8"/>
      <c r="S140" s="8"/>
      <c r="T140" s="8"/>
      <c r="U140" s="8"/>
      <c r="V140" s="8"/>
      <c r="W140" s="8"/>
      <c r="X140" s="8"/>
      <c r="Y140" s="8"/>
      <c r="Z140" s="8"/>
      <c r="AA140" s="8"/>
      <c r="AB140" s="8"/>
      <c r="AC140" s="8"/>
      <c r="AD140" s="8"/>
    </row>
    <row r="141" spans="1:30" x14ac:dyDescent="0.25">
      <c r="B141" s="8"/>
      <c r="C141" s="8"/>
      <c r="D141" s="8"/>
      <c r="E141" s="8"/>
      <c r="F141" s="8"/>
      <c r="G141" s="8"/>
      <c r="H141" s="8"/>
      <c r="I141" s="8"/>
      <c r="J141" s="8"/>
      <c r="K141" s="8"/>
      <c r="L141" s="8"/>
      <c r="M141" s="8"/>
      <c r="N141" s="8"/>
      <c r="O141" s="8"/>
      <c r="P141" s="8"/>
      <c r="Q141" s="8"/>
      <c r="R141" s="8"/>
      <c r="S141" s="8"/>
      <c r="T141" s="8"/>
      <c r="U141" s="8"/>
      <c r="V141" s="8"/>
      <c r="W141" s="8"/>
      <c r="X141" s="8"/>
      <c r="Y141" s="8"/>
      <c r="Z141" s="8"/>
      <c r="AA141" s="8"/>
      <c r="AB141" s="8"/>
      <c r="AC141" s="8"/>
      <c r="AD141" s="8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BN103"/>
  <sheetViews>
    <sheetView topLeftCell="AC49" zoomScale="85" zoomScaleNormal="85" workbookViewId="0">
      <selection activeCell="AT34" sqref="AT34:AT35"/>
    </sheetView>
  </sheetViews>
  <sheetFormatPr baseColWidth="10" defaultRowHeight="12.75" x14ac:dyDescent="0.2"/>
  <cols>
    <col min="1" max="1" width="11.42578125" style="1"/>
    <col min="2" max="2" width="11.7109375" style="1" bestFit="1" customWidth="1"/>
    <col min="3" max="6" width="11.42578125" style="1"/>
    <col min="7" max="7" width="12.42578125" style="1" bestFit="1" customWidth="1"/>
    <col min="8" max="21" width="11.42578125" style="1"/>
    <col min="22" max="22" width="12.42578125" style="1" bestFit="1" customWidth="1"/>
    <col min="23" max="36" width="11.42578125" style="1"/>
    <col min="37" max="37" width="12.42578125" style="1" bestFit="1" customWidth="1"/>
    <col min="38" max="50" width="11.42578125" style="1"/>
    <col min="51" max="51" width="19.5703125" style="1" customWidth="1"/>
    <col min="52" max="55" width="11.42578125" style="1"/>
    <col min="56" max="56" width="12" style="1" bestFit="1" customWidth="1"/>
    <col min="57" max="16384" width="11.42578125" style="1"/>
  </cols>
  <sheetData>
    <row r="1" spans="2:62" ht="15" x14ac:dyDescent="0.25">
      <c r="G1" s="2" t="s">
        <v>7</v>
      </c>
      <c r="H1" s="2"/>
      <c r="I1" s="2"/>
      <c r="J1" s="2"/>
      <c r="AY1" s="1" t="s">
        <v>0</v>
      </c>
      <c r="AZ1" s="1" t="s">
        <v>1</v>
      </c>
      <c r="BA1" s="1" t="s">
        <v>2</v>
      </c>
      <c r="BB1" s="1" t="s">
        <v>3</v>
      </c>
      <c r="BC1" s="1" t="s">
        <v>4</v>
      </c>
      <c r="BD1" s="1" t="s">
        <v>5</v>
      </c>
    </row>
    <row r="2" spans="2:62" ht="15" x14ac:dyDescent="0.25">
      <c r="C2" s="82" t="s">
        <v>6</v>
      </c>
      <c r="D2" s="82"/>
      <c r="E2" s="12"/>
      <c r="G2" s="2" t="s">
        <v>10</v>
      </c>
      <c r="H2" s="2"/>
      <c r="I2" s="2"/>
      <c r="J2" s="2"/>
      <c r="N2" s="12"/>
      <c r="O2" s="12"/>
      <c r="P2" s="12"/>
      <c r="Q2" s="12"/>
      <c r="AX2" s="1" t="s">
        <v>87</v>
      </c>
      <c r="AY2" s="1">
        <f>BC2*AZ2</f>
        <v>7.0173362404153505E-2</v>
      </c>
      <c r="AZ2" s="1">
        <v>1.1000000000000001</v>
      </c>
      <c r="BA2" s="1">
        <v>9.8066499999999994</v>
      </c>
      <c r="BB2" s="1">
        <v>0.28499999999999998</v>
      </c>
      <c r="BC2" s="1">
        <f>PI()*BB2*BB2/4</f>
        <v>6.3793965821957732E-2</v>
      </c>
      <c r="BD2" s="1">
        <v>1.003E-6</v>
      </c>
    </row>
    <row r="3" spans="2:62" x14ac:dyDescent="0.2">
      <c r="B3" s="23" t="s">
        <v>50</v>
      </c>
      <c r="C3" s="3" t="s">
        <v>8</v>
      </c>
      <c r="D3" s="4" t="s">
        <v>9</v>
      </c>
      <c r="F3" s="1" t="s">
        <v>11</v>
      </c>
      <c r="G3" s="1" t="s">
        <v>12</v>
      </c>
      <c r="H3" s="1" t="s">
        <v>13</v>
      </c>
      <c r="J3" s="1" t="s">
        <v>14</v>
      </c>
      <c r="N3" s="13"/>
      <c r="O3" s="13"/>
      <c r="P3" s="13"/>
      <c r="Q3" s="13"/>
      <c r="AX3" s="1" t="s">
        <v>118</v>
      </c>
      <c r="AY3" s="1">
        <f t="shared" ref="AY3:AY4" si="0">BC3*AZ3</f>
        <v>4.4204630803944302E-2</v>
      </c>
      <c r="AZ3" s="1">
        <v>1.1000000000000001</v>
      </c>
      <c r="BA3" s="1">
        <v>9.8066499999999994</v>
      </c>
      <c r="BB3" s="1">
        <f>H4/1000</f>
        <v>0.22619999999999998</v>
      </c>
      <c r="BC3" s="1">
        <f t="shared" ref="BC3:BC4" si="1">PI()*BB3*BB3/4</f>
        <v>4.0186028003585728E-2</v>
      </c>
      <c r="BD3" s="1">
        <v>1.003E-6</v>
      </c>
    </row>
    <row r="4" spans="2:62" x14ac:dyDescent="0.2">
      <c r="B4" s="1">
        <f>(C4/3600)/(PI()*(($H$5/1000)/2)^2)</f>
        <v>0</v>
      </c>
      <c r="C4" s="47"/>
      <c r="D4" s="47"/>
      <c r="F4" s="1">
        <v>10</v>
      </c>
      <c r="G4" s="1">
        <v>250</v>
      </c>
      <c r="H4" s="15">
        <v>226.2</v>
      </c>
      <c r="I4" s="15"/>
      <c r="J4" s="1">
        <v>26</v>
      </c>
      <c r="N4" s="14"/>
      <c r="O4" s="14"/>
      <c r="P4" s="14"/>
      <c r="Q4" s="14"/>
      <c r="AX4" s="1" t="s">
        <v>115</v>
      </c>
      <c r="AY4" s="1">
        <f t="shared" si="0"/>
        <v>2.5085441409725903E-2</v>
      </c>
      <c r="AZ4" s="1">
        <v>1.1000000000000001</v>
      </c>
      <c r="BA4" s="1">
        <v>9.8066499999999994</v>
      </c>
      <c r="BB4" s="1">
        <f>H6/1000</f>
        <v>0.1704</v>
      </c>
      <c r="BC4" s="1">
        <f t="shared" si="1"/>
        <v>2.2804946736114454E-2</v>
      </c>
      <c r="BD4" s="1">
        <v>1.003E-6</v>
      </c>
    </row>
    <row r="5" spans="2:62" ht="15" x14ac:dyDescent="0.25">
      <c r="B5" s="1">
        <f>(C5/3600)/(PI()*(($H$5/1000)/2)^2)</f>
        <v>0</v>
      </c>
      <c r="C5" s="47"/>
      <c r="D5" s="47"/>
      <c r="F5" s="6">
        <v>10</v>
      </c>
      <c r="G5" s="6">
        <v>300</v>
      </c>
      <c r="H5" s="6">
        <v>285</v>
      </c>
      <c r="I5" s="6"/>
      <c r="J5" s="6">
        <v>31</v>
      </c>
      <c r="N5" s="14"/>
      <c r="O5" s="14"/>
      <c r="P5" s="14"/>
      <c r="Q5" s="14"/>
      <c r="AY5"/>
      <c r="AZ5"/>
      <c r="BA5"/>
      <c r="BB5"/>
      <c r="BC5"/>
      <c r="BD5"/>
      <c r="BE5"/>
      <c r="BF5"/>
      <c r="BG5" t="s">
        <v>15</v>
      </c>
      <c r="BH5" t="s">
        <v>105</v>
      </c>
      <c r="BI5"/>
    </row>
    <row r="6" spans="2:62" ht="15" x14ac:dyDescent="0.25">
      <c r="B6" s="1">
        <f>(C6/3600)/(PI()*(($H$5/1000)/2)^2)</f>
        <v>0</v>
      </c>
      <c r="C6" s="47"/>
      <c r="D6" s="47"/>
      <c r="F6" s="1">
        <v>16</v>
      </c>
      <c r="G6" s="1">
        <v>200</v>
      </c>
      <c r="H6" s="1">
        <v>170.4</v>
      </c>
      <c r="J6" s="1">
        <v>21</v>
      </c>
      <c r="N6" s="14"/>
      <c r="O6" s="14"/>
      <c r="P6" s="14"/>
      <c r="Q6" s="14"/>
      <c r="AY6"/>
      <c r="AZ6"/>
      <c r="BA6"/>
      <c r="BB6"/>
      <c r="BC6"/>
      <c r="BD6"/>
      <c r="BE6"/>
      <c r="BF6"/>
      <c r="BG6"/>
      <c r="BH6" t="s">
        <v>106</v>
      </c>
      <c r="BI6"/>
    </row>
    <row r="7" spans="2:62" ht="15" x14ac:dyDescent="0.25">
      <c r="B7" s="1">
        <f>(C7/3600)/(PI()*(($H$5/1000)/2)^2)</f>
        <v>0</v>
      </c>
      <c r="C7" s="47"/>
      <c r="D7" s="47"/>
      <c r="F7" s="14"/>
      <c r="G7" s="14"/>
      <c r="H7" s="14"/>
      <c r="I7" s="14"/>
      <c r="J7" s="14"/>
      <c r="K7" s="14"/>
      <c r="L7" s="14"/>
      <c r="M7" s="14"/>
      <c r="N7" s="14"/>
      <c r="O7" s="14"/>
      <c r="P7" s="14"/>
      <c r="Q7" s="14"/>
      <c r="AY7" s="66" t="s">
        <v>117</v>
      </c>
      <c r="AZ7"/>
      <c r="BA7"/>
      <c r="BB7"/>
      <c r="BC7"/>
      <c r="BD7" t="s">
        <v>16</v>
      </c>
      <c r="BE7" s="1" t="s">
        <v>116</v>
      </c>
      <c r="BF7" t="s">
        <v>17</v>
      </c>
      <c r="BG7" t="s">
        <v>18</v>
      </c>
      <c r="BH7" t="s">
        <v>103</v>
      </c>
      <c r="BI7" t="s">
        <v>104</v>
      </c>
      <c r="BJ7" s="1" t="s">
        <v>114</v>
      </c>
    </row>
    <row r="8" spans="2:62" ht="15" x14ac:dyDescent="0.25">
      <c r="B8" s="1">
        <f>(C8/3600)/(PI()*(($H$5/1000)/2)^2)</f>
        <v>0</v>
      </c>
      <c r="C8" s="48"/>
      <c r="D8" s="48"/>
      <c r="F8" s="14"/>
      <c r="G8" s="14"/>
      <c r="H8" s="14"/>
      <c r="I8" s="14"/>
      <c r="J8" s="14"/>
      <c r="K8" s="14"/>
      <c r="L8" s="14"/>
      <c r="M8" s="14"/>
      <c r="N8" s="14"/>
      <c r="O8" s="14"/>
      <c r="P8" s="14"/>
      <c r="Q8" s="14"/>
      <c r="AY8" t="s">
        <v>19</v>
      </c>
      <c r="AZ8"/>
      <c r="BA8"/>
      <c r="BB8" t="s">
        <v>20</v>
      </c>
      <c r="BC8" t="s">
        <v>21</v>
      </c>
      <c r="BD8" t="s">
        <v>22</v>
      </c>
      <c r="BF8"/>
      <c r="BG8"/>
      <c r="BH8"/>
      <c r="BI8"/>
    </row>
    <row r="9" spans="2:62" ht="15" x14ac:dyDescent="0.25">
      <c r="C9" s="80">
        <v>0.25</v>
      </c>
      <c r="D9" s="80"/>
      <c r="E9" s="81"/>
      <c r="F9" s="81"/>
      <c r="G9" s="81"/>
      <c r="H9" s="81"/>
      <c r="I9" s="81"/>
      <c r="J9" s="81"/>
      <c r="K9" s="81"/>
      <c r="L9" s="81"/>
      <c r="M9" s="81"/>
      <c r="N9" s="81"/>
      <c r="O9" s="81"/>
      <c r="P9" s="81"/>
      <c r="Q9" s="81"/>
      <c r="R9" s="81"/>
      <c r="S9" s="81"/>
      <c r="T9" s="81"/>
      <c r="U9" s="81"/>
      <c r="V9" s="81"/>
      <c r="W9" s="81"/>
      <c r="X9" s="81"/>
      <c r="Y9" s="81"/>
      <c r="Z9" s="81"/>
      <c r="AA9" s="81"/>
      <c r="AB9" s="81"/>
      <c r="AC9" s="81"/>
      <c r="AD9" s="81"/>
      <c r="AE9" s="81"/>
      <c r="AF9" s="81"/>
      <c r="AG9" s="81"/>
      <c r="AH9" s="81"/>
      <c r="AI9" s="81"/>
      <c r="AJ9" s="81"/>
      <c r="AK9" s="19"/>
      <c r="AL9" s="19"/>
      <c r="AM9" s="19"/>
      <c r="AN9" s="19"/>
      <c r="AO9" s="19"/>
      <c r="AP9" s="19"/>
      <c r="AQ9" s="19"/>
      <c r="AR9" s="19"/>
      <c r="AS9" s="19"/>
      <c r="AT9" s="19"/>
      <c r="AU9" s="19"/>
      <c r="AV9" s="19"/>
      <c r="AY9" t="s">
        <v>23</v>
      </c>
      <c r="AZ9">
        <v>651</v>
      </c>
      <c r="BA9"/>
      <c r="BB9" s="58">
        <v>25</v>
      </c>
      <c r="BC9" s="58">
        <v>40</v>
      </c>
      <c r="BD9" s="7">
        <f>(31*(AZ$11-15))*AZ$16*BC9</f>
        <v>373975.18948332896</v>
      </c>
      <c r="BE9" s="24">
        <f>BD9/100^3</f>
        <v>0.37397518948332897</v>
      </c>
      <c r="BF9" s="8">
        <f t="shared" ref="BF9:BF17" si="2">(BD9/(1000)^3)/AY$2*100</f>
        <v>0.53293041215478887</v>
      </c>
      <c r="BG9" s="9">
        <f>(AZ$10*BB9/100*AZ$12/1000)/(2*PI()*BB$2/2)*100</f>
        <v>6.924636120489482</v>
      </c>
      <c r="BH9" s="9">
        <f>AM34</f>
        <v>31.315724121364816</v>
      </c>
      <c r="BI9" s="9">
        <f>AM35</f>
        <v>3.2348481202637149</v>
      </c>
      <c r="BJ9" s="25">
        <f>BI9/BH9*100</f>
        <v>10.329788663761969</v>
      </c>
    </row>
    <row r="10" spans="2:62" ht="15" x14ac:dyDescent="0.25">
      <c r="C10" s="82" t="s">
        <v>25</v>
      </c>
      <c r="D10" s="82"/>
      <c r="E10" s="82"/>
      <c r="F10" s="82"/>
      <c r="G10" s="45"/>
      <c r="H10" s="45"/>
      <c r="I10" s="45" t="s">
        <v>65</v>
      </c>
      <c r="J10" s="45"/>
      <c r="K10" s="45"/>
      <c r="L10" s="45"/>
      <c r="M10" s="45"/>
      <c r="N10" s="45"/>
      <c r="O10" s="45"/>
      <c r="P10" s="45"/>
      <c r="Q10" s="45"/>
      <c r="R10" s="82" t="s">
        <v>26</v>
      </c>
      <c r="S10" s="82"/>
      <c r="T10" s="82"/>
      <c r="U10" s="82"/>
      <c r="V10" s="45"/>
      <c r="W10" s="45"/>
      <c r="X10" s="45" t="s">
        <v>65</v>
      </c>
      <c r="Y10" s="45"/>
      <c r="Z10" s="45"/>
      <c r="AA10" s="45"/>
      <c r="AB10" s="45"/>
      <c r="AC10" s="45"/>
      <c r="AD10" s="45"/>
      <c r="AE10" s="45"/>
      <c r="AF10" s="45"/>
      <c r="AG10" s="82" t="s">
        <v>27</v>
      </c>
      <c r="AH10" s="82"/>
      <c r="AI10" s="82"/>
      <c r="AJ10" s="82"/>
      <c r="AK10" s="20"/>
      <c r="AL10" s="20"/>
      <c r="AM10" s="20" t="s">
        <v>65</v>
      </c>
      <c r="AN10" s="20"/>
      <c r="AO10" s="20"/>
      <c r="AP10" s="20"/>
      <c r="AQ10" s="20"/>
      <c r="AR10" s="20"/>
      <c r="AS10" s="20"/>
      <c r="AT10" s="20"/>
      <c r="AU10" s="20"/>
      <c r="AV10" s="20"/>
      <c r="AY10" t="s">
        <v>24</v>
      </c>
      <c r="AZ10">
        <v>31</v>
      </c>
      <c r="BA10"/>
      <c r="BB10" s="59">
        <v>25</v>
      </c>
      <c r="BC10" s="52">
        <v>30</v>
      </c>
      <c r="BD10" s="60">
        <f t="shared" ref="BD10:BD11" si="3">(31*(AZ$11-15))*AZ$16*BC10</f>
        <v>280481.39211249672</v>
      </c>
      <c r="BE10" s="64">
        <f t="shared" ref="BE10:BE17" si="4">BD10/100^3</f>
        <v>0.28048139211249673</v>
      </c>
      <c r="BF10" s="61">
        <f t="shared" si="2"/>
        <v>0.39969780911609165</v>
      </c>
      <c r="BG10" s="9">
        <f t="shared" ref="BG10:BG17" si="5">(AZ$10*BB10/100*AZ$12/1000)/(2*PI()*BB$2/2)*100</f>
        <v>6.924636120489482</v>
      </c>
      <c r="BH10" s="9">
        <f>X34</f>
        <v>12.505965328412445</v>
      </c>
      <c r="BI10" s="9">
        <f>X35</f>
        <v>2.9351127098207774</v>
      </c>
      <c r="BJ10" s="25">
        <f>BI10/BH10*100</f>
        <v>23.469701320476727</v>
      </c>
    </row>
    <row r="11" spans="2:62" ht="15" x14ac:dyDescent="0.25">
      <c r="B11" s="23" t="s">
        <v>50</v>
      </c>
      <c r="C11" s="3" t="s">
        <v>8</v>
      </c>
      <c r="D11" s="3" t="s">
        <v>48</v>
      </c>
      <c r="E11" s="4" t="s">
        <v>9</v>
      </c>
      <c r="F11" s="3" t="s">
        <v>49</v>
      </c>
      <c r="G11" s="3" t="s">
        <v>51</v>
      </c>
      <c r="H11" s="3" t="s">
        <v>52</v>
      </c>
      <c r="I11" s="3" t="s">
        <v>66</v>
      </c>
      <c r="J11" s="3" t="s">
        <v>56</v>
      </c>
      <c r="K11" s="3" t="s">
        <v>57</v>
      </c>
      <c r="L11" s="3" t="s">
        <v>58</v>
      </c>
      <c r="M11" s="3" t="s">
        <v>60</v>
      </c>
      <c r="N11" s="3" t="s">
        <v>59</v>
      </c>
      <c r="O11" s="3" t="s">
        <v>61</v>
      </c>
      <c r="P11" s="3" t="s">
        <v>62</v>
      </c>
      <c r="Q11" s="3" t="s">
        <v>50</v>
      </c>
      <c r="R11" s="3" t="s">
        <v>8</v>
      </c>
      <c r="S11" s="3" t="s">
        <v>48</v>
      </c>
      <c r="T11" s="4" t="s">
        <v>9</v>
      </c>
      <c r="U11" s="3" t="s">
        <v>49</v>
      </c>
      <c r="V11" s="3" t="s">
        <v>51</v>
      </c>
      <c r="W11" s="3" t="s">
        <v>52</v>
      </c>
      <c r="X11" s="3" t="s">
        <v>66</v>
      </c>
      <c r="Y11" s="3" t="s">
        <v>56</v>
      </c>
      <c r="Z11" s="3" t="s">
        <v>57</v>
      </c>
      <c r="AA11" s="3" t="s">
        <v>58</v>
      </c>
      <c r="AB11" s="3" t="s">
        <v>60</v>
      </c>
      <c r="AC11" s="3" t="s">
        <v>59</v>
      </c>
      <c r="AD11" s="3" t="s">
        <v>61</v>
      </c>
      <c r="AE11" s="3" t="s">
        <v>62</v>
      </c>
      <c r="AF11" s="3" t="s">
        <v>50</v>
      </c>
      <c r="AG11" s="3" t="s">
        <v>8</v>
      </c>
      <c r="AH11" s="3" t="s">
        <v>48</v>
      </c>
      <c r="AI11" s="4" t="s">
        <v>9</v>
      </c>
      <c r="AJ11" s="3" t="s">
        <v>49</v>
      </c>
      <c r="AK11" s="21" t="s">
        <v>51</v>
      </c>
      <c r="AL11" s="21" t="s">
        <v>52</v>
      </c>
      <c r="AM11" s="21" t="s">
        <v>66</v>
      </c>
      <c r="AN11" s="21" t="s">
        <v>56</v>
      </c>
      <c r="AO11" s="21" t="s">
        <v>57</v>
      </c>
      <c r="AP11" s="21" t="s">
        <v>58</v>
      </c>
      <c r="AQ11" s="21" t="s">
        <v>60</v>
      </c>
      <c r="AR11" s="21" t="s">
        <v>59</v>
      </c>
      <c r="AS11" s="21" t="s">
        <v>61</v>
      </c>
      <c r="AT11" s="21" t="s">
        <v>62</v>
      </c>
      <c r="AU11" s="21"/>
      <c r="AV11" s="21"/>
      <c r="AY11" t="s">
        <v>28</v>
      </c>
      <c r="AZ11">
        <v>21</v>
      </c>
      <c r="BA11">
        <f>AZ11*AZ10</f>
        <v>651</v>
      </c>
      <c r="BB11" s="58">
        <v>25</v>
      </c>
      <c r="BC11" s="58">
        <v>20</v>
      </c>
      <c r="BD11" s="7">
        <f t="shared" si="3"/>
        <v>186987.59474166448</v>
      </c>
      <c r="BE11" s="24">
        <f t="shared" si="4"/>
        <v>0.18698759474166449</v>
      </c>
      <c r="BF11" s="8">
        <f t="shared" si="2"/>
        <v>0.26646520607739443</v>
      </c>
      <c r="BG11" s="9">
        <f t="shared" si="5"/>
        <v>6.924636120489482</v>
      </c>
      <c r="BH11" s="9"/>
      <c r="BI11" s="9"/>
      <c r="BJ11" s="25"/>
    </row>
    <row r="12" spans="2:62" ht="15" x14ac:dyDescent="0.25">
      <c r="B12" s="24">
        <f>(C12/3600)/(PI()*(($H$5/1000)/2)^2)</f>
        <v>0</v>
      </c>
      <c r="C12" s="47"/>
      <c r="D12" s="5"/>
      <c r="E12" s="47"/>
      <c r="F12" s="16"/>
      <c r="G12" s="26">
        <f>B12*$H$5/1000/$BD$2</f>
        <v>0</v>
      </c>
      <c r="H12" s="16" t="e">
        <f>(E12/$BA$2*($H$5/1000)*2*$BA$2)/((B12^2)*$AZ$2)</f>
        <v>#DIV/0!</v>
      </c>
      <c r="I12" s="16" t="e">
        <f t="shared" ref="I12:I21" si="6">((3.7^2)/(10^(1/(H12^0.5))))^0.5*$H$5</f>
        <v>#DIV/0!</v>
      </c>
      <c r="J12" s="16" t="e">
        <f>H12^0.5</f>
        <v>#DIV/0!</v>
      </c>
      <c r="K12" s="16" t="e">
        <f>1/J12</f>
        <v>#DIV/0!</v>
      </c>
      <c r="L12" s="16" t="e">
        <f>10^K12</f>
        <v>#DIV/0!</v>
      </c>
      <c r="M12" s="16" t="e">
        <f>1/L12</f>
        <v>#DIV/0!</v>
      </c>
      <c r="N12" s="16" t="e">
        <f>M12^0.5</f>
        <v>#DIV/0!</v>
      </c>
      <c r="O12" s="16" t="e">
        <f>N12-(2.51/(G12*J12))</f>
        <v>#DIV/0!</v>
      </c>
      <c r="P12" s="16" t="e">
        <f t="shared" ref="P12:P21" si="7">O12*3.7*$H$5</f>
        <v>#DIV/0!</v>
      </c>
      <c r="Q12" s="16">
        <f t="shared" ref="Q12:Q21" si="8">(R12/3600)/(PI()*($H$5/1000/2)^2)</f>
        <v>0.39798260794361989</v>
      </c>
      <c r="R12" s="47">
        <v>91.4</v>
      </c>
      <c r="S12" s="5"/>
      <c r="T12" s="47">
        <v>2.1</v>
      </c>
      <c r="U12" s="16"/>
      <c r="V12" s="26">
        <f>Q12*$H$5/1000/$BD$2</f>
        <v>113085.78590621303</v>
      </c>
      <c r="W12" s="16">
        <f>(T12/$BA$2*($H$5/1000)*2*$BA$2)/((Q12^2)*$AZ$2)</f>
        <v>6.8702616634322409</v>
      </c>
      <c r="X12" s="16">
        <f t="shared" ref="X12:X21" si="9">((3.7^2)/(10^(1/(W12^0.5))))^0.5*$H$5</f>
        <v>679.65469043021494</v>
      </c>
      <c r="Y12" s="16">
        <f>W12^0.5</f>
        <v>2.6211183993540317</v>
      </c>
      <c r="Z12" s="16">
        <f>1/Y12</f>
        <v>0.38151653135793012</v>
      </c>
      <c r="AA12" s="16">
        <f>10^Z12</f>
        <v>2.4072241479524137</v>
      </c>
      <c r="AB12" s="16">
        <f>1/AA12</f>
        <v>0.41541623818064494</v>
      </c>
      <c r="AC12" s="16">
        <f>AB12^0.5</f>
        <v>0.64452791885274052</v>
      </c>
      <c r="AD12" s="16">
        <f>AC12-(2.51/(V12*Y12))</f>
        <v>0.64451945088759321</v>
      </c>
      <c r="AE12" s="16">
        <f t="shared" ref="AE12:AE21" si="10">AD12*3.7*$H$5</f>
        <v>679.6457609609671</v>
      </c>
      <c r="AF12" s="16">
        <f t="shared" ref="AF12:AF21" si="11">(AG12/3600)/(PI()*($H$5/1000/2)^2)</f>
        <v>0.3921761984483601</v>
      </c>
      <c r="AG12" s="47">
        <v>90.066509999999994</v>
      </c>
      <c r="AH12" s="5"/>
      <c r="AI12" s="47">
        <v>2.1535739999999999</v>
      </c>
      <c r="AJ12" s="5"/>
      <c r="AK12" s="29">
        <f>AF12*$H$5/1000/$BD$2</f>
        <v>111435.90883128876</v>
      </c>
      <c r="AL12" s="22">
        <f>(AI12/$BA$2*($H$5/1000)*2*$BA$2)/((AF12^2)*$AZ$2)</f>
        <v>7.2557031304714146</v>
      </c>
      <c r="AM12" s="22">
        <f t="shared" ref="AM12:AM21" si="12">((3.7^2)/(10^(1/(AL12^0.5))))^0.5*$H$5</f>
        <v>687.73993048560692</v>
      </c>
      <c r="AN12" s="22">
        <f>AL12^0.5</f>
        <v>2.6936412401192951</v>
      </c>
      <c r="AO12" s="22">
        <f>1/AN12</f>
        <v>0.37124468734214672</v>
      </c>
      <c r="AP12" s="22">
        <f>10^AO12</f>
        <v>2.3509570085243805</v>
      </c>
      <c r="AQ12" s="22">
        <f>1/AP12</f>
        <v>0.42535869281066419</v>
      </c>
      <c r="AR12" s="22">
        <f>AQ12^0.5</f>
        <v>0.65219528732632237</v>
      </c>
      <c r="AS12" s="22">
        <f>AR12-(2.51/(AK12*AN12))</f>
        <v>0.65218692535238598</v>
      </c>
      <c r="AT12" s="29">
        <f t="shared" ref="AT12:AT21" si="13">AS12*3.7*$H$5</f>
        <v>687.73111278409101</v>
      </c>
      <c r="AU12" s="14"/>
      <c r="AV12" s="14"/>
      <c r="AY12" t="s">
        <v>29</v>
      </c>
      <c r="AZ12">
        <v>8</v>
      </c>
      <c r="BA12" t="s">
        <v>30</v>
      </c>
      <c r="BB12" s="58">
        <v>50</v>
      </c>
      <c r="BC12" s="58">
        <v>40</v>
      </c>
      <c r="BD12" s="7">
        <f>(31*(AZ$11-10))*AZ$16*BC12</f>
        <v>685621.18071943638</v>
      </c>
      <c r="BE12" s="24">
        <f t="shared" si="4"/>
        <v>0.68562118071943634</v>
      </c>
      <c r="BF12" s="8">
        <f t="shared" si="2"/>
        <v>0.97703908895044622</v>
      </c>
      <c r="BG12" s="9">
        <f t="shared" si="5"/>
        <v>13.849272240978964</v>
      </c>
      <c r="BH12" s="9">
        <f>AM58</f>
        <v>62.709979684593769</v>
      </c>
      <c r="BI12" s="9">
        <f>AM59</f>
        <v>3.1540582190276925</v>
      </c>
      <c r="BJ12" s="25">
        <f t="shared" ref="BJ11:BJ17" si="14">BI12/BH12*100</f>
        <v>5.0295953449376789</v>
      </c>
    </row>
    <row r="13" spans="2:62" ht="15" x14ac:dyDescent="0.25">
      <c r="B13" s="24">
        <f t="shared" ref="B13:B21" si="15">(C13/3600)/(PI()*($H$5/1000/2)^2)</f>
        <v>0</v>
      </c>
      <c r="C13" s="47"/>
      <c r="D13" s="5"/>
      <c r="E13" s="47"/>
      <c r="F13" s="16"/>
      <c r="G13" s="26">
        <f t="shared" ref="G13:G21" si="16">B13*$H$5/1000/$BD$2</f>
        <v>0</v>
      </c>
      <c r="H13" s="16" t="e">
        <f t="shared" ref="H13:H21" si="17">(E13/$BA$2*($H$5/1000)*2*$BA$2)/((B13^2)*$AZ$2)</f>
        <v>#DIV/0!</v>
      </c>
      <c r="I13" s="16" t="e">
        <f t="shared" si="6"/>
        <v>#DIV/0!</v>
      </c>
      <c r="J13" s="16" t="e">
        <f t="shared" ref="J13:J21" si="18">H13^0.5</f>
        <v>#DIV/0!</v>
      </c>
      <c r="K13" s="16" t="e">
        <f t="shared" ref="K13:K21" si="19">1/J13</f>
        <v>#DIV/0!</v>
      </c>
      <c r="L13" s="16" t="e">
        <f t="shared" ref="L13:L21" si="20">10^K13</f>
        <v>#DIV/0!</v>
      </c>
      <c r="M13" s="16" t="e">
        <f t="shared" ref="M13:M21" si="21">1/L13</f>
        <v>#DIV/0!</v>
      </c>
      <c r="N13" s="16" t="e">
        <f t="shared" ref="N13:N21" si="22">M13^0.5</f>
        <v>#DIV/0!</v>
      </c>
      <c r="O13" s="16" t="e">
        <f t="shared" ref="O13:O21" si="23">N13-(2.51/(G13*J13))</f>
        <v>#DIV/0!</v>
      </c>
      <c r="P13" s="16" t="e">
        <f t="shared" si="7"/>
        <v>#DIV/0!</v>
      </c>
      <c r="Q13" s="16">
        <f t="shared" si="8"/>
        <v>0.40059518523865456</v>
      </c>
      <c r="R13" s="47">
        <v>92</v>
      </c>
      <c r="S13" s="5"/>
      <c r="T13" s="47">
        <v>2.1</v>
      </c>
      <c r="U13" s="16"/>
      <c r="V13" s="26">
        <f t="shared" ref="V13:V21" si="24">Q13*$H$5/1000/$BD$2</f>
        <v>113828.14336292777</v>
      </c>
      <c r="W13" s="16">
        <f t="shared" ref="W13:W21" si="25">(T13/$BA$2*($H$5/1000)*2*$BA$2)/((Q13^2)*$AZ$2)</f>
        <v>6.7809417681765609</v>
      </c>
      <c r="X13" s="16">
        <f t="shared" si="9"/>
        <v>677.69780023949363</v>
      </c>
      <c r="Y13" s="16">
        <f t="shared" ref="Y13:Y21" si="26">W13^0.5</f>
        <v>2.6040241489234619</v>
      </c>
      <c r="Z13" s="16">
        <f t="shared" ref="Z13:Z21" si="27">1/Y13</f>
        <v>0.38402101624649421</v>
      </c>
      <c r="AA13" s="16">
        <f t="shared" ref="AA13:AA21" si="28">10^Z13</f>
        <v>2.42114620727232</v>
      </c>
      <c r="AB13" s="16">
        <f t="shared" ref="AB13:AB21" si="29">1/AA13</f>
        <v>0.41302751440467816</v>
      </c>
      <c r="AC13" s="16">
        <f t="shared" ref="AC13:AC21" si="30">AB13^0.5</f>
        <v>0.64267216713086162</v>
      </c>
      <c r="AD13" s="16">
        <f t="shared" ref="AD13:AD21" si="31">AC13-(2.51/(V13*Y13))</f>
        <v>0.64266369916571431</v>
      </c>
      <c r="AE13" s="16">
        <f t="shared" si="10"/>
        <v>677.68887077024579</v>
      </c>
      <c r="AF13" s="16">
        <f t="shared" si="11"/>
        <v>0.3921761984483601</v>
      </c>
      <c r="AG13" s="47">
        <v>90.066509999999994</v>
      </c>
      <c r="AH13" s="5"/>
      <c r="AI13" s="47">
        <v>2.1535739999999999</v>
      </c>
      <c r="AJ13" s="5"/>
      <c r="AK13" s="29">
        <f t="shared" ref="AK13:AK21" si="32">AF13*$H$5/1000/$BD$2</f>
        <v>111435.90883128876</v>
      </c>
      <c r="AL13" s="22">
        <f>(AI13/$BA$2*($H$5/1000)*2*$BA$2)/((AF13^2)*$AZ$2)</f>
        <v>7.2557031304714146</v>
      </c>
      <c r="AM13" s="22">
        <f t="shared" si="12"/>
        <v>687.73993048560692</v>
      </c>
      <c r="AN13" s="22">
        <f t="shared" ref="AN13:AN21" si="33">AL13^0.5</f>
        <v>2.6936412401192951</v>
      </c>
      <c r="AO13" s="22">
        <f t="shared" ref="AO13:AO21" si="34">1/AN13</f>
        <v>0.37124468734214672</v>
      </c>
      <c r="AP13" s="22">
        <f t="shared" ref="AP13:AP21" si="35">10^AO13</f>
        <v>2.3509570085243805</v>
      </c>
      <c r="AQ13" s="22">
        <f t="shared" ref="AQ13:AQ21" si="36">1/AP13</f>
        <v>0.42535869281066419</v>
      </c>
      <c r="AR13" s="22">
        <f t="shared" ref="AR13:AR21" si="37">AQ13^0.5</f>
        <v>0.65219528732632237</v>
      </c>
      <c r="AS13" s="22">
        <f t="shared" ref="AS13:AS21" si="38">AR13-(2.51/(AK13*AN13))</f>
        <v>0.65218692535238598</v>
      </c>
      <c r="AT13" s="29">
        <f t="shared" si="13"/>
        <v>687.73111278409101</v>
      </c>
      <c r="AU13" s="14"/>
      <c r="AW13" s="14"/>
      <c r="AY13" t="s">
        <v>31</v>
      </c>
      <c r="AZ13">
        <f>BB2*1000</f>
        <v>285</v>
      </c>
      <c r="BA13" t="s">
        <v>30</v>
      </c>
      <c r="BB13" s="52">
        <v>50</v>
      </c>
      <c r="BC13" s="52">
        <v>30</v>
      </c>
      <c r="BD13" s="7">
        <f t="shared" ref="BD13:BD14" si="39">(31*(AZ$11-10))*AZ$16*BC13</f>
        <v>514215.88553957728</v>
      </c>
      <c r="BE13" s="24">
        <f t="shared" si="4"/>
        <v>0.51421588553957731</v>
      </c>
      <c r="BF13" s="8">
        <f t="shared" si="2"/>
        <v>0.73277931671283469</v>
      </c>
      <c r="BG13" s="9">
        <f t="shared" si="5"/>
        <v>13.849272240978964</v>
      </c>
      <c r="BH13" s="9">
        <f>X57</f>
        <v>30.344864208447888</v>
      </c>
      <c r="BI13" s="9">
        <f>X58</f>
        <v>3.4670558032409158</v>
      </c>
      <c r="BJ13" s="25">
        <f t="shared" si="14"/>
        <v>11.425511017036291</v>
      </c>
    </row>
    <row r="14" spans="2:62" ht="15" x14ac:dyDescent="0.25">
      <c r="B14" s="24">
        <f t="shared" si="15"/>
        <v>0</v>
      </c>
      <c r="C14" s="47"/>
      <c r="D14" s="5"/>
      <c r="E14" s="47"/>
      <c r="F14" s="16"/>
      <c r="G14" s="26">
        <f t="shared" si="16"/>
        <v>0</v>
      </c>
      <c r="H14" s="16" t="e">
        <f t="shared" si="17"/>
        <v>#DIV/0!</v>
      </c>
      <c r="I14" s="16" t="e">
        <f t="shared" si="6"/>
        <v>#DIV/0!</v>
      </c>
      <c r="J14" s="16" t="e">
        <f t="shared" si="18"/>
        <v>#DIV/0!</v>
      </c>
      <c r="K14" s="16" t="e">
        <f t="shared" si="19"/>
        <v>#DIV/0!</v>
      </c>
      <c r="L14" s="16" t="e">
        <f t="shared" si="20"/>
        <v>#DIV/0!</v>
      </c>
      <c r="M14" s="16" t="e">
        <f t="shared" si="21"/>
        <v>#DIV/0!</v>
      </c>
      <c r="N14" s="16" t="e">
        <f t="shared" si="22"/>
        <v>#DIV/0!</v>
      </c>
      <c r="O14" s="16" t="e">
        <f t="shared" si="23"/>
        <v>#DIV/0!</v>
      </c>
      <c r="P14" s="16" t="e">
        <f t="shared" si="7"/>
        <v>#DIV/0!</v>
      </c>
      <c r="Q14" s="16">
        <f t="shared" si="8"/>
        <v>0.79683607498558462</v>
      </c>
      <c r="R14" s="47">
        <v>183</v>
      </c>
      <c r="S14" s="5"/>
      <c r="T14" s="47">
        <v>2.1800000000000002</v>
      </c>
      <c r="U14" s="16"/>
      <c r="V14" s="26">
        <f t="shared" si="24"/>
        <v>226419.02429799762</v>
      </c>
      <c r="W14" s="16">
        <f t="shared" si="25"/>
        <v>1.7791013489055425</v>
      </c>
      <c r="X14" s="16">
        <f t="shared" si="9"/>
        <v>444.82183933087998</v>
      </c>
      <c r="Y14" s="16">
        <f t="shared" si="26"/>
        <v>1.3338295801584032</v>
      </c>
      <c r="Z14" s="16">
        <f t="shared" si="27"/>
        <v>0.74972096501356777</v>
      </c>
      <c r="AA14" s="16">
        <f t="shared" si="28"/>
        <v>5.6198013592140024</v>
      </c>
      <c r="AB14" s="16">
        <f t="shared" si="29"/>
        <v>0.17794223248842059</v>
      </c>
      <c r="AC14" s="16">
        <f t="shared" si="30"/>
        <v>0.42183199557219531</v>
      </c>
      <c r="AD14" s="16">
        <f t="shared" si="31"/>
        <v>0.42182368443478968</v>
      </c>
      <c r="AE14" s="16">
        <f t="shared" si="10"/>
        <v>444.81307523648576</v>
      </c>
      <c r="AF14" s="16">
        <f t="shared" si="11"/>
        <v>0</v>
      </c>
      <c r="AG14" s="47"/>
      <c r="AH14" s="5"/>
      <c r="AI14" s="47"/>
      <c r="AJ14" s="5"/>
      <c r="AK14" s="29"/>
      <c r="AL14" s="22"/>
      <c r="AM14" s="22"/>
      <c r="AN14" s="22"/>
      <c r="AO14" s="22"/>
      <c r="AP14" s="22"/>
      <c r="AQ14" s="22"/>
      <c r="AR14" s="22"/>
      <c r="AS14" s="22"/>
      <c r="AT14" s="29"/>
      <c r="AU14" s="14"/>
      <c r="AW14" s="14"/>
      <c r="AY14" t="s">
        <v>32</v>
      </c>
      <c r="AZ14" s="8">
        <f>2*PI()*AZ13/2</f>
        <v>895.35390627309107</v>
      </c>
      <c r="BA14" t="s">
        <v>30</v>
      </c>
      <c r="BB14" s="58">
        <v>50</v>
      </c>
      <c r="BC14" s="58">
        <v>20</v>
      </c>
      <c r="BD14" s="7">
        <f t="shared" si="39"/>
        <v>342810.59035971819</v>
      </c>
      <c r="BE14" s="24">
        <f t="shared" si="4"/>
        <v>0.34281059035971817</v>
      </c>
      <c r="BF14" s="8">
        <f t="shared" si="2"/>
        <v>0.48851954447522311</v>
      </c>
      <c r="BG14" s="9">
        <f t="shared" si="5"/>
        <v>13.849272240978964</v>
      </c>
      <c r="BH14" s="9"/>
      <c r="BI14" s="9"/>
      <c r="BJ14" s="25"/>
    </row>
    <row r="15" spans="2:62" ht="15" x14ac:dyDescent="0.25">
      <c r="B15" s="24">
        <f t="shared" si="15"/>
        <v>0</v>
      </c>
      <c r="C15" s="47"/>
      <c r="D15" s="5"/>
      <c r="E15" s="47"/>
      <c r="F15" s="16"/>
      <c r="G15" s="26">
        <f t="shared" si="16"/>
        <v>0</v>
      </c>
      <c r="H15" s="16" t="e">
        <f t="shared" si="17"/>
        <v>#DIV/0!</v>
      </c>
      <c r="I15" s="16" t="e">
        <f t="shared" si="6"/>
        <v>#DIV/0!</v>
      </c>
      <c r="J15" s="16" t="e">
        <f t="shared" si="18"/>
        <v>#DIV/0!</v>
      </c>
      <c r="K15" s="16" t="e">
        <f t="shared" si="19"/>
        <v>#DIV/0!</v>
      </c>
      <c r="L15" s="16" t="e">
        <f t="shared" si="20"/>
        <v>#DIV/0!</v>
      </c>
      <c r="M15" s="16" t="e">
        <f t="shared" si="21"/>
        <v>#DIV/0!</v>
      </c>
      <c r="N15" s="16" t="e">
        <f t="shared" si="22"/>
        <v>#DIV/0!</v>
      </c>
      <c r="O15" s="16" t="e">
        <f t="shared" si="23"/>
        <v>#DIV/0!</v>
      </c>
      <c r="P15" s="16" t="e">
        <f t="shared" si="7"/>
        <v>#DIV/0!</v>
      </c>
      <c r="Q15" s="16">
        <f t="shared" si="8"/>
        <v>0.79248177949386012</v>
      </c>
      <c r="R15" s="47">
        <v>182</v>
      </c>
      <c r="S15" s="5"/>
      <c r="T15" s="47">
        <v>2.17</v>
      </c>
      <c r="U15" s="16"/>
      <c r="V15" s="26">
        <f t="shared" si="24"/>
        <v>225181.76187013974</v>
      </c>
      <c r="W15" s="16">
        <f t="shared" si="25"/>
        <v>1.790454680293482</v>
      </c>
      <c r="X15" s="16">
        <f t="shared" si="9"/>
        <v>446.04275840771749</v>
      </c>
      <c r="Y15" s="16">
        <f t="shared" si="26"/>
        <v>1.3380787272404722</v>
      </c>
      <c r="Z15" s="16">
        <f t="shared" si="27"/>
        <v>0.74734018233912591</v>
      </c>
      <c r="AA15" s="16">
        <f t="shared" si="28"/>
        <v>5.5890781513207992</v>
      </c>
      <c r="AB15" s="16">
        <f t="shared" si="29"/>
        <v>0.17892038238250116</v>
      </c>
      <c r="AC15" s="16">
        <f t="shared" si="30"/>
        <v>0.42298981356824794</v>
      </c>
      <c r="AD15" s="16">
        <f t="shared" si="31"/>
        <v>0.42298148330276775</v>
      </c>
      <c r="AE15" s="16">
        <f t="shared" si="10"/>
        <v>446.03397414276861</v>
      </c>
      <c r="AF15" s="16">
        <f t="shared" si="11"/>
        <v>0</v>
      </c>
      <c r="AG15" s="47"/>
      <c r="AH15" s="5"/>
      <c r="AI15" s="47"/>
      <c r="AJ15" s="5"/>
      <c r="AK15" s="29"/>
      <c r="AL15" s="22"/>
      <c r="AM15" s="22"/>
      <c r="AN15" s="22"/>
      <c r="AO15" s="22"/>
      <c r="AP15" s="22"/>
      <c r="AQ15" s="22"/>
      <c r="AR15" s="22"/>
      <c r="AS15" s="22"/>
      <c r="AT15" s="29"/>
      <c r="AU15" s="14"/>
      <c r="AW15" s="14"/>
      <c r="AY15" t="s">
        <v>33</v>
      </c>
      <c r="AZ15" s="8">
        <f>AZ14/AZ10</f>
        <v>28.882384073325518</v>
      </c>
      <c r="BA15" t="s">
        <v>30</v>
      </c>
      <c r="BB15" s="58">
        <v>75</v>
      </c>
      <c r="BC15" s="58">
        <v>40</v>
      </c>
      <c r="BD15" s="7">
        <f>(31*(AZ$11-5))*AZ$16*BC15</f>
        <v>997267.17195554392</v>
      </c>
      <c r="BE15" s="24">
        <f t="shared" si="4"/>
        <v>0.99726717195554393</v>
      </c>
      <c r="BF15" s="8">
        <f t="shared" si="2"/>
        <v>1.4211477657461038</v>
      </c>
      <c r="BG15" s="9">
        <f t="shared" si="5"/>
        <v>20.773908361468447</v>
      </c>
      <c r="BH15" s="9">
        <f>AM82</f>
        <v>90.77054252508637</v>
      </c>
      <c r="BI15" s="9">
        <f>AM83</f>
        <v>6.5291513157981917</v>
      </c>
      <c r="BJ15" s="25">
        <f t="shared" si="14"/>
        <v>7.193028855141768</v>
      </c>
    </row>
    <row r="16" spans="2:62" ht="15" x14ac:dyDescent="0.25">
      <c r="B16" s="24">
        <f t="shared" si="15"/>
        <v>0</v>
      </c>
      <c r="C16" s="47"/>
      <c r="D16" s="5"/>
      <c r="E16" s="47"/>
      <c r="F16" s="5"/>
      <c r="G16" s="26"/>
      <c r="H16" s="16"/>
      <c r="I16" s="16"/>
      <c r="J16" s="16"/>
      <c r="K16" s="16"/>
      <c r="L16" s="16"/>
      <c r="M16" s="16"/>
      <c r="N16" s="16"/>
      <c r="O16" s="16"/>
      <c r="P16" s="16"/>
      <c r="Q16" s="5">
        <f t="shared" si="8"/>
        <v>0</v>
      </c>
      <c r="R16" s="47"/>
      <c r="S16" s="5"/>
      <c r="T16" s="47"/>
      <c r="U16" s="5"/>
      <c r="V16" s="26"/>
      <c r="W16" s="16"/>
      <c r="X16" s="16"/>
      <c r="Y16" s="16"/>
      <c r="Z16" s="16"/>
      <c r="AA16" s="16"/>
      <c r="AB16" s="16"/>
      <c r="AC16" s="16"/>
      <c r="AD16" s="16"/>
      <c r="AE16" s="16"/>
      <c r="AF16" s="5">
        <f t="shared" si="11"/>
        <v>1.1779627696511898</v>
      </c>
      <c r="AG16" s="47">
        <v>270.52890000000002</v>
      </c>
      <c r="AH16" s="5"/>
      <c r="AI16" s="47">
        <v>2.3585069999999999</v>
      </c>
      <c r="AJ16" s="5"/>
      <c r="AK16" s="29">
        <f t="shared" si="32"/>
        <v>334715.24361972994</v>
      </c>
      <c r="AL16" s="22">
        <f t="shared" ref="AL16:AL21" si="40">(AI16/$BA$2*($H$5/1000)*2*$BA$2)/((AF16^2)*$AZ$2)</f>
        <v>0.88075721820708397</v>
      </c>
      <c r="AM16" s="22">
        <f t="shared" si="12"/>
        <v>309.22454753404872</v>
      </c>
      <c r="AN16" s="22">
        <f t="shared" si="33"/>
        <v>0.93848666384082624</v>
      </c>
      <c r="AO16" s="22">
        <f t="shared" si="34"/>
        <v>1.0655452427074732</v>
      </c>
      <c r="AP16" s="22">
        <f t="shared" si="35"/>
        <v>11.629076908157913</v>
      </c>
      <c r="AQ16" s="22">
        <f t="shared" si="36"/>
        <v>8.5991348057771477E-2</v>
      </c>
      <c r="AR16" s="22">
        <f t="shared" si="37"/>
        <v>0.29324281416220838</v>
      </c>
      <c r="AS16" s="22">
        <f t="shared" si="38"/>
        <v>0.29323482373270099</v>
      </c>
      <c r="AT16" s="29">
        <f t="shared" si="13"/>
        <v>309.2161216261332</v>
      </c>
      <c r="AU16" s="14"/>
      <c r="AW16" s="14"/>
      <c r="AY16" t="s">
        <v>34</v>
      </c>
      <c r="AZ16" s="8">
        <f>PI()*(AZ12/2)^2</f>
        <v>50.26548245743669</v>
      </c>
      <c r="BA16" t="s">
        <v>35</v>
      </c>
      <c r="BB16" s="52">
        <v>75</v>
      </c>
      <c r="BC16" s="52">
        <v>30</v>
      </c>
      <c r="BD16" s="7">
        <f t="shared" ref="BD16:BD17" si="41">(31*(AZ$11-5))*AZ$16*BC16</f>
        <v>747950.37896665791</v>
      </c>
      <c r="BE16" s="24">
        <f t="shared" si="4"/>
        <v>0.74795037896665795</v>
      </c>
      <c r="BF16" s="8">
        <f t="shared" si="2"/>
        <v>1.0658608243095777</v>
      </c>
      <c r="BG16" s="9">
        <f t="shared" si="5"/>
        <v>20.773908361468447</v>
      </c>
      <c r="BH16" s="9">
        <f>X81</f>
        <v>43.492612514723447</v>
      </c>
      <c r="BI16" s="9">
        <f>X82</f>
        <v>4.3253855591491934</v>
      </c>
      <c r="BJ16" s="25">
        <f t="shared" si="14"/>
        <v>9.9451040281494496</v>
      </c>
    </row>
    <row r="17" spans="2:66" ht="15" x14ac:dyDescent="0.25">
      <c r="B17" s="24">
        <f t="shared" si="15"/>
        <v>0</v>
      </c>
      <c r="C17" s="47"/>
      <c r="D17" s="5"/>
      <c r="E17" s="47"/>
      <c r="F17" s="5"/>
      <c r="G17" s="26"/>
      <c r="H17" s="16"/>
      <c r="I17" s="16"/>
      <c r="J17" s="16"/>
      <c r="K17" s="16"/>
      <c r="L17" s="16"/>
      <c r="M17" s="16"/>
      <c r="N17" s="16"/>
      <c r="O17" s="16"/>
      <c r="P17" s="16"/>
      <c r="Q17" s="5">
        <f t="shared" si="8"/>
        <v>0</v>
      </c>
      <c r="R17" s="47"/>
      <c r="S17" s="5"/>
      <c r="T17" s="47"/>
      <c r="U17" s="5"/>
      <c r="V17" s="26"/>
      <c r="W17" s="16"/>
      <c r="X17" s="16"/>
      <c r="Y17" s="16"/>
      <c r="Z17" s="16"/>
      <c r="AA17" s="16"/>
      <c r="AB17" s="16"/>
      <c r="AC17" s="16"/>
      <c r="AD17" s="16"/>
      <c r="AE17" s="16"/>
      <c r="AF17" s="5">
        <f t="shared" si="11"/>
        <v>1.1779627696511898</v>
      </c>
      <c r="AG17" s="47">
        <v>270.52890000000002</v>
      </c>
      <c r="AH17" s="5"/>
      <c r="AI17" s="47">
        <v>2.3585069999999999</v>
      </c>
      <c r="AJ17" s="5"/>
      <c r="AK17" s="29">
        <f t="shared" si="32"/>
        <v>334715.24361972994</v>
      </c>
      <c r="AL17" s="22">
        <f t="shared" si="40"/>
        <v>0.88075721820708397</v>
      </c>
      <c r="AM17" s="22">
        <f t="shared" si="12"/>
        <v>309.22454753404872</v>
      </c>
      <c r="AN17" s="22">
        <f t="shared" si="33"/>
        <v>0.93848666384082624</v>
      </c>
      <c r="AO17" s="22">
        <f t="shared" si="34"/>
        <v>1.0655452427074732</v>
      </c>
      <c r="AP17" s="22">
        <f t="shared" si="35"/>
        <v>11.629076908157913</v>
      </c>
      <c r="AQ17" s="22">
        <f t="shared" si="36"/>
        <v>8.5991348057771477E-2</v>
      </c>
      <c r="AR17" s="22">
        <f t="shared" si="37"/>
        <v>0.29324281416220838</v>
      </c>
      <c r="AS17" s="22">
        <f t="shared" si="38"/>
        <v>0.29323482373270099</v>
      </c>
      <c r="AT17" s="29">
        <f t="shared" si="13"/>
        <v>309.2161216261332</v>
      </c>
      <c r="AU17" s="14"/>
      <c r="AW17" s="14"/>
      <c r="AY17" s="1" t="s">
        <v>34</v>
      </c>
      <c r="AZ17" s="17">
        <f>AZ16/1000000</f>
        <v>5.0265482457436693E-5</v>
      </c>
      <c r="BA17" s="1" t="s">
        <v>36</v>
      </c>
      <c r="BB17" s="58">
        <v>75</v>
      </c>
      <c r="BC17" s="58">
        <v>20</v>
      </c>
      <c r="BD17" s="7">
        <f t="shared" si="41"/>
        <v>498633.58597777196</v>
      </c>
      <c r="BE17" s="24">
        <f t="shared" si="4"/>
        <v>0.49863358597777196</v>
      </c>
      <c r="BF17" s="8">
        <f t="shared" si="2"/>
        <v>0.7105738828730519</v>
      </c>
      <c r="BG17" s="9">
        <f t="shared" si="5"/>
        <v>20.773908361468447</v>
      </c>
      <c r="BH17" s="57"/>
      <c r="BI17" s="57"/>
      <c r="BJ17" s="25"/>
    </row>
    <row r="18" spans="2:66" x14ac:dyDescent="0.2">
      <c r="B18" s="24">
        <f t="shared" si="15"/>
        <v>0</v>
      </c>
      <c r="C18" s="47"/>
      <c r="D18" s="5"/>
      <c r="E18" s="47"/>
      <c r="F18" s="5"/>
      <c r="G18" s="26">
        <f t="shared" si="16"/>
        <v>0</v>
      </c>
      <c r="H18" s="16" t="e">
        <f t="shared" si="17"/>
        <v>#DIV/0!</v>
      </c>
      <c r="I18" s="16" t="e">
        <f t="shared" si="6"/>
        <v>#DIV/0!</v>
      </c>
      <c r="J18" s="16" t="e">
        <f t="shared" si="18"/>
        <v>#DIV/0!</v>
      </c>
      <c r="K18" s="16" t="e">
        <f t="shared" si="19"/>
        <v>#DIV/0!</v>
      </c>
      <c r="L18" s="16" t="e">
        <f t="shared" si="20"/>
        <v>#DIV/0!</v>
      </c>
      <c r="M18" s="16" t="e">
        <f t="shared" si="21"/>
        <v>#DIV/0!</v>
      </c>
      <c r="N18" s="16" t="e">
        <f t="shared" si="22"/>
        <v>#DIV/0!</v>
      </c>
      <c r="O18" s="16" t="e">
        <f t="shared" si="23"/>
        <v>#DIV/0!</v>
      </c>
      <c r="P18" s="16" t="e">
        <f t="shared" si="7"/>
        <v>#DIV/0!</v>
      </c>
      <c r="Q18" s="5">
        <f t="shared" si="8"/>
        <v>2.3452235518428188</v>
      </c>
      <c r="R18" s="47">
        <v>538.6</v>
      </c>
      <c r="S18" s="5"/>
      <c r="T18" s="47">
        <v>2.2799999999999998</v>
      </c>
      <c r="U18" s="5"/>
      <c r="V18" s="26">
        <f t="shared" si="24"/>
        <v>666389.54364427051</v>
      </c>
      <c r="W18" s="16">
        <f t="shared" si="25"/>
        <v>0.21480704643505011</v>
      </c>
      <c r="X18" s="16">
        <f t="shared" si="9"/>
        <v>87.949758027662554</v>
      </c>
      <c r="Y18" s="16">
        <f t="shared" si="26"/>
        <v>0.46347281089083325</v>
      </c>
      <c r="Z18" s="16">
        <f t="shared" si="27"/>
        <v>2.1576238702717361</v>
      </c>
      <c r="AA18" s="16">
        <f t="shared" si="28"/>
        <v>143.75530164065145</v>
      </c>
      <c r="AB18" s="16">
        <f t="shared" si="29"/>
        <v>6.9562651852640798E-3</v>
      </c>
      <c r="AC18" s="16">
        <f t="shared" si="30"/>
        <v>8.3404227622249943E-2</v>
      </c>
      <c r="AD18" s="16">
        <f t="shared" si="31"/>
        <v>8.3396100790179978E-2</v>
      </c>
      <c r="AE18" s="16">
        <f t="shared" si="10"/>
        <v>87.941188283244784</v>
      </c>
      <c r="AF18" s="5">
        <f t="shared" si="11"/>
        <v>0</v>
      </c>
      <c r="AG18" s="47"/>
      <c r="AH18" s="5"/>
      <c r="AI18" s="47"/>
      <c r="AJ18" s="5"/>
      <c r="AK18" s="29"/>
      <c r="AL18" s="22"/>
      <c r="AM18" s="22"/>
      <c r="AN18" s="22"/>
      <c r="AO18" s="22"/>
      <c r="AP18" s="22"/>
      <c r="AQ18" s="22"/>
      <c r="AR18" s="22"/>
      <c r="AS18" s="22"/>
      <c r="AT18" s="29"/>
      <c r="AU18" s="14"/>
      <c r="AW18" s="14"/>
      <c r="AY18" s="1" t="s">
        <v>37</v>
      </c>
      <c r="AZ18" s="17">
        <f>AZ17*AZ9</f>
        <v>3.2722829079791287E-2</v>
      </c>
      <c r="BN18" s="73"/>
    </row>
    <row r="19" spans="2:66" ht="15.75" x14ac:dyDescent="0.25">
      <c r="B19" s="24">
        <f t="shared" si="15"/>
        <v>0</v>
      </c>
      <c r="C19" s="47"/>
      <c r="D19" s="5"/>
      <c r="E19" s="47"/>
      <c r="F19" s="5"/>
      <c r="G19" s="26">
        <f t="shared" si="16"/>
        <v>0</v>
      </c>
      <c r="H19" s="16" t="e">
        <f t="shared" si="17"/>
        <v>#DIV/0!</v>
      </c>
      <c r="I19" s="16" t="e">
        <f t="shared" si="6"/>
        <v>#DIV/0!</v>
      </c>
      <c r="J19" s="16" t="e">
        <f t="shared" si="18"/>
        <v>#DIV/0!</v>
      </c>
      <c r="K19" s="16" t="e">
        <f t="shared" si="19"/>
        <v>#DIV/0!</v>
      </c>
      <c r="L19" s="16" t="e">
        <f t="shared" si="20"/>
        <v>#DIV/0!</v>
      </c>
      <c r="M19" s="16" t="e">
        <f t="shared" si="21"/>
        <v>#DIV/0!</v>
      </c>
      <c r="N19" s="16" t="e">
        <f t="shared" si="22"/>
        <v>#DIV/0!</v>
      </c>
      <c r="O19" s="16" t="e">
        <f t="shared" si="23"/>
        <v>#DIV/0!</v>
      </c>
      <c r="P19" s="16" t="e">
        <f t="shared" si="7"/>
        <v>#DIV/0!</v>
      </c>
      <c r="Q19" s="5">
        <f t="shared" si="8"/>
        <v>2.3513195655312331</v>
      </c>
      <c r="R19" s="47">
        <v>540</v>
      </c>
      <c r="S19" s="5"/>
      <c r="T19" s="47">
        <v>2.2999999999999998</v>
      </c>
      <c r="U19" s="5"/>
      <c r="V19" s="26">
        <f t="shared" si="24"/>
        <v>668121.71104327159</v>
      </c>
      <c r="W19" s="16">
        <f t="shared" si="25"/>
        <v>0.21556919065491995</v>
      </c>
      <c r="X19" s="16">
        <f t="shared" si="9"/>
        <v>88.337154492368882</v>
      </c>
      <c r="Y19" s="16">
        <f t="shared" si="26"/>
        <v>0.46429429315351267</v>
      </c>
      <c r="Z19" s="16">
        <f t="shared" si="27"/>
        <v>2.1538063567569274</v>
      </c>
      <c r="AA19" s="16">
        <f t="shared" si="28"/>
        <v>142.49720853151643</v>
      </c>
      <c r="AB19" s="16">
        <f t="shared" si="29"/>
        <v>7.0176813307807904E-3</v>
      </c>
      <c r="AC19" s="16">
        <f t="shared" si="30"/>
        <v>8.3771602173891777E-2</v>
      </c>
      <c r="AD19" s="16">
        <f t="shared" si="31"/>
        <v>8.376351075302324E-2</v>
      </c>
      <c r="AE19" s="16">
        <f t="shared" si="10"/>
        <v>88.328622089063003</v>
      </c>
      <c r="AF19" s="5">
        <f t="shared" si="11"/>
        <v>0</v>
      </c>
      <c r="AG19" s="47"/>
      <c r="AH19" s="5"/>
      <c r="AI19" s="47"/>
      <c r="AJ19" s="5"/>
      <c r="AK19" s="29"/>
      <c r="AL19" s="22"/>
      <c r="AM19" s="22"/>
      <c r="AN19" s="22"/>
      <c r="AO19" s="22"/>
      <c r="AP19" s="22"/>
      <c r="AQ19" s="22"/>
      <c r="AR19" s="22"/>
      <c r="AS19" s="22"/>
      <c r="AT19" s="29"/>
      <c r="AU19" s="14"/>
      <c r="AW19" s="14"/>
      <c r="AY19" s="1" t="s">
        <v>41</v>
      </c>
      <c r="AZ19" s="17">
        <f>AZ$18*0.04</f>
        <v>1.3089131631916515E-3</v>
      </c>
      <c r="BA19" s="1" t="s">
        <v>42</v>
      </c>
      <c r="BB19" s="10"/>
      <c r="BC19" s="10"/>
      <c r="BD19" s="10"/>
      <c r="BE19" s="10"/>
      <c r="BF19" s="10"/>
    </row>
    <row r="20" spans="2:66" ht="15.75" x14ac:dyDescent="0.25">
      <c r="B20" s="24">
        <f t="shared" si="15"/>
        <v>0</v>
      </c>
      <c r="C20" s="47"/>
      <c r="D20" s="5"/>
      <c r="E20" s="47"/>
      <c r="F20" s="5"/>
      <c r="G20" s="26">
        <f t="shared" si="16"/>
        <v>0</v>
      </c>
      <c r="H20" s="16" t="e">
        <f t="shared" si="17"/>
        <v>#DIV/0!</v>
      </c>
      <c r="I20" s="16" t="e">
        <f t="shared" si="6"/>
        <v>#DIV/0!</v>
      </c>
      <c r="J20" s="16" t="e">
        <f t="shared" si="18"/>
        <v>#DIV/0!</v>
      </c>
      <c r="K20" s="16" t="e">
        <f t="shared" si="19"/>
        <v>#DIV/0!</v>
      </c>
      <c r="L20" s="16" t="e">
        <f t="shared" si="20"/>
        <v>#DIV/0!</v>
      </c>
      <c r="M20" s="16" t="e">
        <f t="shared" si="21"/>
        <v>#DIV/0!</v>
      </c>
      <c r="N20" s="16" t="e">
        <f t="shared" si="22"/>
        <v>#DIV/0!</v>
      </c>
      <c r="O20" s="16" t="e">
        <f t="shared" si="23"/>
        <v>#DIV/0!</v>
      </c>
      <c r="P20" s="16" t="e">
        <f t="shared" si="7"/>
        <v>#DIV/0!</v>
      </c>
      <c r="Q20" s="5">
        <f t="shared" si="8"/>
        <v>3.0480068442071544</v>
      </c>
      <c r="R20" s="47">
        <v>700</v>
      </c>
      <c r="S20" s="5"/>
      <c r="T20" s="47">
        <v>2.85</v>
      </c>
      <c r="U20" s="5"/>
      <c r="V20" s="26">
        <f t="shared" si="24"/>
        <v>866083.69950053748</v>
      </c>
      <c r="W20" s="16">
        <f t="shared" si="25"/>
        <v>0.15896267221444343</v>
      </c>
      <c r="X20" s="16">
        <f t="shared" si="9"/>
        <v>58.74551457499755</v>
      </c>
      <c r="Y20" s="16">
        <f t="shared" si="26"/>
        <v>0.3987012317694083</v>
      </c>
      <c r="Z20" s="16">
        <f t="shared" si="27"/>
        <v>2.5081437435296339</v>
      </c>
      <c r="AA20" s="16">
        <f t="shared" si="28"/>
        <v>322.2135082587053</v>
      </c>
      <c r="AB20" s="16">
        <f t="shared" si="29"/>
        <v>3.1035322057233546E-3</v>
      </c>
      <c r="AC20" s="16">
        <f t="shared" si="30"/>
        <v>5.5709354741581368E-2</v>
      </c>
      <c r="AD20" s="16">
        <f t="shared" si="31"/>
        <v>5.5702085882001297E-2</v>
      </c>
      <c r="AE20" s="16">
        <f t="shared" si="10"/>
        <v>58.737849562570368</v>
      </c>
      <c r="AF20" s="5">
        <f t="shared" si="11"/>
        <v>2.3629864648717596</v>
      </c>
      <c r="AG20" s="47">
        <v>542.67939999999999</v>
      </c>
      <c r="AH20" s="5"/>
      <c r="AI20" s="47">
        <v>2.9883899999999999</v>
      </c>
      <c r="AJ20" s="5"/>
      <c r="AK20" s="29">
        <f t="shared" si="32"/>
        <v>671436.83199247415</v>
      </c>
      <c r="AL20" s="22">
        <f t="shared" si="40"/>
        <v>0.27733008001642623</v>
      </c>
      <c r="AM20" s="22">
        <f t="shared" si="12"/>
        <v>118.46712761453206</v>
      </c>
      <c r="AN20" s="22">
        <f t="shared" si="33"/>
        <v>0.52662138203497422</v>
      </c>
      <c r="AO20" s="22">
        <f t="shared" si="34"/>
        <v>1.8988974510221985</v>
      </c>
      <c r="AP20" s="22">
        <f t="shared" si="35"/>
        <v>79.231422101808306</v>
      </c>
      <c r="AQ20" s="22">
        <f t="shared" si="36"/>
        <v>1.2621255222644514E-2</v>
      </c>
      <c r="AR20" s="22">
        <f t="shared" si="37"/>
        <v>0.11234435999481467</v>
      </c>
      <c r="AS20" s="22">
        <f t="shared" si="38"/>
        <v>0.11233726143784703</v>
      </c>
      <c r="AT20" s="29">
        <f t="shared" si="13"/>
        <v>118.45964218620971</v>
      </c>
      <c r="AU20" s="14"/>
      <c r="AW20" s="14"/>
      <c r="AY20" s="1" t="s">
        <v>43</v>
      </c>
      <c r="AZ20" s="17">
        <f>AZ$18*0.03</f>
        <v>9.8168487239373866E-4</v>
      </c>
      <c r="BA20" s="1" t="s">
        <v>42</v>
      </c>
      <c r="BB20" s="10"/>
      <c r="BC20" s="10"/>
      <c r="BD20" s="10"/>
      <c r="BE20" s="10"/>
      <c r="BF20" s="10"/>
    </row>
    <row r="21" spans="2:66" ht="15.75" x14ac:dyDescent="0.25">
      <c r="B21" s="24">
        <f t="shared" si="15"/>
        <v>0</v>
      </c>
      <c r="C21" s="47"/>
      <c r="D21" s="5"/>
      <c r="E21" s="47"/>
      <c r="F21" s="5"/>
      <c r="G21" s="26">
        <f t="shared" si="16"/>
        <v>0</v>
      </c>
      <c r="H21" s="16" t="e">
        <f t="shared" si="17"/>
        <v>#DIV/0!</v>
      </c>
      <c r="I21" s="16" t="e">
        <f t="shared" si="6"/>
        <v>#DIV/0!</v>
      </c>
      <c r="J21" s="16" t="e">
        <f t="shared" si="18"/>
        <v>#DIV/0!</v>
      </c>
      <c r="K21" s="16" t="e">
        <f t="shared" si="19"/>
        <v>#DIV/0!</v>
      </c>
      <c r="L21" s="16" t="e">
        <f t="shared" si="20"/>
        <v>#DIV/0!</v>
      </c>
      <c r="M21" s="16" t="e">
        <f t="shared" si="21"/>
        <v>#DIV/0!</v>
      </c>
      <c r="N21" s="16" t="e">
        <f t="shared" si="22"/>
        <v>#DIV/0!</v>
      </c>
      <c r="O21" s="16" t="e">
        <f t="shared" si="23"/>
        <v>#DIV/0!</v>
      </c>
      <c r="P21" s="16" t="e">
        <f t="shared" si="7"/>
        <v>#DIV/0!</v>
      </c>
      <c r="Q21" s="5">
        <f t="shared" si="8"/>
        <v>3.0523611396988786</v>
      </c>
      <c r="R21" s="47">
        <v>701</v>
      </c>
      <c r="S21" s="5"/>
      <c r="T21" s="47">
        <v>2.87</v>
      </c>
      <c r="U21" s="5"/>
      <c r="V21" s="26">
        <f t="shared" si="24"/>
        <v>867320.96192839532</v>
      </c>
      <c r="W21" s="16">
        <f t="shared" si="25"/>
        <v>0.15962181166092482</v>
      </c>
      <c r="X21" s="16">
        <f t="shared" si="9"/>
        <v>59.097166951489363</v>
      </c>
      <c r="Y21" s="16">
        <f t="shared" si="26"/>
        <v>0.39952698489704647</v>
      </c>
      <c r="Z21" s="16">
        <f t="shared" si="27"/>
        <v>2.5029598445213619</v>
      </c>
      <c r="AA21" s="16">
        <f t="shared" si="28"/>
        <v>318.39031199552585</v>
      </c>
      <c r="AB21" s="16">
        <f t="shared" si="29"/>
        <v>3.1407990831519156E-3</v>
      </c>
      <c r="AC21" s="16">
        <f t="shared" si="30"/>
        <v>5.6042832576092327E-2</v>
      </c>
      <c r="AD21" s="16">
        <f t="shared" si="31"/>
        <v>5.6035589087827291E-2</v>
      </c>
      <c r="AE21" s="16">
        <f t="shared" si="10"/>
        <v>59.089528693113884</v>
      </c>
      <c r="AF21" s="5">
        <f t="shared" si="11"/>
        <v>2.3629864648717596</v>
      </c>
      <c r="AG21" s="47">
        <v>542.67939999999999</v>
      </c>
      <c r="AH21" s="5"/>
      <c r="AI21" s="47">
        <v>2.9883899999999999</v>
      </c>
      <c r="AJ21" s="5"/>
      <c r="AK21" s="29">
        <f t="shared" si="32"/>
        <v>671436.83199247415</v>
      </c>
      <c r="AL21" s="22">
        <f t="shared" si="40"/>
        <v>0.27733008001642623</v>
      </c>
      <c r="AM21" s="22">
        <f t="shared" si="12"/>
        <v>118.46712761453206</v>
      </c>
      <c r="AN21" s="22">
        <f t="shared" si="33"/>
        <v>0.52662138203497422</v>
      </c>
      <c r="AO21" s="22">
        <f t="shared" si="34"/>
        <v>1.8988974510221985</v>
      </c>
      <c r="AP21" s="22">
        <f t="shared" si="35"/>
        <v>79.231422101808306</v>
      </c>
      <c r="AQ21" s="22">
        <f t="shared" si="36"/>
        <v>1.2621255222644514E-2</v>
      </c>
      <c r="AR21" s="22">
        <f t="shared" si="37"/>
        <v>0.11234435999481467</v>
      </c>
      <c r="AS21" s="22">
        <f t="shared" si="38"/>
        <v>0.11233726143784703</v>
      </c>
      <c r="AT21" s="29">
        <f t="shared" si="13"/>
        <v>118.45964218620971</v>
      </c>
      <c r="AU21" s="14"/>
      <c r="AV21" s="14"/>
      <c r="AY21" s="1" t="s">
        <v>44</v>
      </c>
      <c r="AZ21" s="17">
        <f>AZ$18*0.02</f>
        <v>6.5445658159582574E-4</v>
      </c>
      <c r="BA21" s="1" t="s">
        <v>42</v>
      </c>
      <c r="BB21" s="10"/>
      <c r="BC21" s="11"/>
      <c r="BD21" s="11"/>
      <c r="BE21" s="11"/>
      <c r="BF21" s="11"/>
    </row>
    <row r="22" spans="2:66" ht="15.75" x14ac:dyDescent="0.25">
      <c r="B22" s="24">
        <f t="shared" ref="B22:B33" si="42">(C22/3600)/(PI()*($H$5/1000/2)^2)</f>
        <v>0</v>
      </c>
      <c r="C22" s="47"/>
      <c r="D22" s="5"/>
      <c r="E22" s="47"/>
      <c r="F22" s="5"/>
      <c r="G22" s="26">
        <f t="shared" ref="G22:G29" si="43">B22*$H$5/1000/$BD$2</f>
        <v>0</v>
      </c>
      <c r="H22" s="16" t="e">
        <f t="shared" ref="H22:H29" si="44">(E22/$BA$2*($H$5/1000)*2*$BA$2)/((B22^2)*$AZ$2)</f>
        <v>#DIV/0!</v>
      </c>
      <c r="I22" s="16" t="e">
        <f t="shared" ref="I22:I29" si="45">((3.7^2)/(10^(1/(H22^0.5))))^0.5*$H$5</f>
        <v>#DIV/0!</v>
      </c>
      <c r="J22" s="16" t="e">
        <f t="shared" ref="J22:J29" si="46">H22^0.5</f>
        <v>#DIV/0!</v>
      </c>
      <c r="K22" s="16" t="e">
        <f t="shared" ref="K22:K29" si="47">1/J22</f>
        <v>#DIV/0!</v>
      </c>
      <c r="L22" s="16" t="e">
        <f t="shared" ref="L22:L29" si="48">10^K22</f>
        <v>#DIV/0!</v>
      </c>
      <c r="M22" s="16" t="e">
        <f t="shared" ref="M22:M29" si="49">1/L22</f>
        <v>#DIV/0!</v>
      </c>
      <c r="N22" s="16" t="e">
        <f t="shared" ref="N22:N29" si="50">M22^0.5</f>
        <v>#DIV/0!</v>
      </c>
      <c r="O22" s="16" t="e">
        <f t="shared" ref="O22:O29" si="51">N22-(2.51/(G22*J22))</f>
        <v>#DIV/0!</v>
      </c>
      <c r="P22" s="16" t="e">
        <f t="shared" ref="P22:P29" si="52">O22*3.7*$H$5</f>
        <v>#DIV/0!</v>
      </c>
      <c r="Q22" s="5">
        <f t="shared" ref="Q22:Q33" si="53">(R22/3600)/(PI()*($H$5/1000/2)^2)</f>
        <v>3.8970944650934332</v>
      </c>
      <c r="R22" s="47">
        <v>895</v>
      </c>
      <c r="S22" s="5"/>
      <c r="T22" s="47">
        <v>3.32</v>
      </c>
      <c r="U22" s="5"/>
      <c r="V22" s="26">
        <f t="shared" ref="V22:V33" si="54">Q22*$H$5/1000/$BD$2</f>
        <v>1107349.8729328301</v>
      </c>
      <c r="W22" s="16">
        <f t="shared" ref="W22:W33" si="55">(T22/$BA$2*($H$5/1000)*2*$BA$2)/((Q22^2)*$AZ$2)</f>
        <v>0.11327612599797585</v>
      </c>
      <c r="X22" s="16">
        <f t="shared" ref="X22:X33" si="56">((3.7^2)/(10^(1/(W22^0.5))))^0.5*$H$5</f>
        <v>34.470714036927632</v>
      </c>
      <c r="Y22" s="16">
        <f t="shared" ref="Y22:Y33" si="57">W22^0.5</f>
        <v>0.33656518833351712</v>
      </c>
      <c r="Z22" s="16">
        <f t="shared" ref="Z22:Z33" si="58">1/Y22</f>
        <v>2.9711926089309522</v>
      </c>
      <c r="AA22" s="16">
        <f t="shared" ref="AA22:AA33" si="59">10^Z22</f>
        <v>935.82061712362292</v>
      </c>
      <c r="AB22" s="16">
        <f t="shared" ref="AB22:AB33" si="60">1/AA22</f>
        <v>1.0685808601584793E-3</v>
      </c>
      <c r="AC22" s="16">
        <f t="shared" ref="AC22:AC33" si="61">AB22^0.5</f>
        <v>3.2689155084805716E-2</v>
      </c>
      <c r="AD22" s="16">
        <f t="shared" ref="AD22:AD33" si="62">AC22-(2.51/(V22*Y22))</f>
        <v>3.2682420362898298E-2</v>
      </c>
      <c r="AE22" s="16">
        <f t="shared" ref="AE22:AE33" si="63">AD22*3.7*$H$5</f>
        <v>34.463612272676258</v>
      </c>
      <c r="AF22" s="5">
        <f t="shared" ref="AF22:AF33" si="64">(AG22/3600)/(PI()*($H$5/1000/2)^2)</f>
        <v>3.0907416418811353</v>
      </c>
      <c r="AG22" s="47">
        <v>709.81439999999998</v>
      </c>
      <c r="AH22" s="5"/>
      <c r="AI22" s="47">
        <v>3.5800459999999998</v>
      </c>
      <c r="AJ22" s="5"/>
      <c r="AK22" s="29">
        <f t="shared" ref="AK22:AK33" si="65">AF22*$H$5/1000/$BD$2</f>
        <v>878226.6878725061</v>
      </c>
      <c r="AL22" s="22">
        <f t="shared" ref="AL22:AL33" si="66">(AI22/$BA$2*($H$5/1000)*2*$BA$2)/((AF22^2)*$AZ$2)</f>
        <v>0.19419827615825305</v>
      </c>
      <c r="AM22" s="22">
        <f t="shared" ref="AM22:AM33" si="67">((3.7^2)/(10^(1/(AL22^0.5))))^0.5*$H$5</f>
        <v>77.345441630456747</v>
      </c>
      <c r="AN22" s="22">
        <f t="shared" ref="AN22:AN33" si="68">AL22^0.5</f>
        <v>0.44067933484366278</v>
      </c>
      <c r="AO22" s="22">
        <f t="shared" ref="AO22:AO33" si="69">1/AN22</f>
        <v>2.269223721041433</v>
      </c>
      <c r="AP22" s="22">
        <f t="shared" ref="AP22:AP33" si="70">10^AO22</f>
        <v>185.87617249542166</v>
      </c>
      <c r="AQ22" s="22">
        <f t="shared" ref="AQ22:AQ33" si="71">1/AP22</f>
        <v>5.3799257138492625E-3</v>
      </c>
      <c r="AR22" s="22">
        <f t="shared" ref="AR22:AR33" si="72">AQ22^0.5</f>
        <v>7.3347976889954244E-2</v>
      </c>
      <c r="AS22" s="22">
        <f t="shared" ref="AS22:AS33" si="73">AR22-(2.51/(AK22*AN22))</f>
        <v>7.3341491375885415E-2</v>
      </c>
      <c r="AT22" s="29">
        <f t="shared" ref="AT22:AT33" si="74">AS22*3.7*$H$5</f>
        <v>77.338602655871171</v>
      </c>
      <c r="AU22" s="14"/>
      <c r="AV22" s="14"/>
      <c r="AZ22" s="17"/>
      <c r="BB22" s="10"/>
      <c r="BC22" s="11"/>
      <c r="BD22" s="11"/>
      <c r="BE22" s="11"/>
      <c r="BF22" s="11"/>
    </row>
    <row r="23" spans="2:66" ht="15.75" x14ac:dyDescent="0.25">
      <c r="B23" s="24">
        <f t="shared" si="42"/>
        <v>0</v>
      </c>
      <c r="C23" s="47"/>
      <c r="D23" s="5"/>
      <c r="E23" s="47"/>
      <c r="F23" s="5"/>
      <c r="G23" s="26">
        <f t="shared" si="43"/>
        <v>0</v>
      </c>
      <c r="H23" s="16" t="e">
        <f t="shared" si="44"/>
        <v>#DIV/0!</v>
      </c>
      <c r="I23" s="16" t="e">
        <f t="shared" si="45"/>
        <v>#DIV/0!</v>
      </c>
      <c r="J23" s="16" t="e">
        <f t="shared" si="46"/>
        <v>#DIV/0!</v>
      </c>
      <c r="K23" s="16" t="e">
        <f t="shared" si="47"/>
        <v>#DIV/0!</v>
      </c>
      <c r="L23" s="16" t="e">
        <f t="shared" si="48"/>
        <v>#DIV/0!</v>
      </c>
      <c r="M23" s="16" t="e">
        <f t="shared" si="49"/>
        <v>#DIV/0!</v>
      </c>
      <c r="N23" s="16" t="e">
        <f t="shared" si="50"/>
        <v>#DIV/0!</v>
      </c>
      <c r="O23" s="16" t="e">
        <f t="shared" si="51"/>
        <v>#DIV/0!</v>
      </c>
      <c r="P23" s="16" t="e">
        <f t="shared" si="52"/>
        <v>#DIV/0!</v>
      </c>
      <c r="Q23" s="5">
        <f t="shared" si="53"/>
        <v>3.9145116470603312</v>
      </c>
      <c r="R23" s="47">
        <v>899</v>
      </c>
      <c r="S23" s="5"/>
      <c r="T23" s="47">
        <v>3.35</v>
      </c>
      <c r="U23" s="5"/>
      <c r="V23" s="26">
        <f t="shared" si="54"/>
        <v>1112298.9226442617</v>
      </c>
      <c r="W23" s="16">
        <f t="shared" si="55"/>
        <v>0.11328484072390144</v>
      </c>
      <c r="X23" s="16">
        <f t="shared" si="56"/>
        <v>34.475249855157699</v>
      </c>
      <c r="Y23" s="16">
        <f t="shared" si="57"/>
        <v>0.33657813464915015</v>
      </c>
      <c r="Z23" s="16">
        <f t="shared" si="58"/>
        <v>2.9710783234401199</v>
      </c>
      <c r="AA23" s="16">
        <f t="shared" si="59"/>
        <v>935.57438639286806</v>
      </c>
      <c r="AB23" s="16">
        <f t="shared" si="60"/>
        <v>1.0688620964234886E-3</v>
      </c>
      <c r="AC23" s="16">
        <f t="shared" si="61"/>
        <v>3.2693456477152862E-2</v>
      </c>
      <c r="AD23" s="16">
        <f t="shared" si="62"/>
        <v>3.2686751978532914E-2</v>
      </c>
      <c r="AE23" s="16">
        <f t="shared" si="63"/>
        <v>34.468179961362964</v>
      </c>
      <c r="AF23" s="5">
        <f t="shared" si="64"/>
        <v>3.0907416418811353</v>
      </c>
      <c r="AG23" s="47">
        <v>709.81439999999998</v>
      </c>
      <c r="AH23" s="5"/>
      <c r="AI23" s="47">
        <v>3.5800459999999998</v>
      </c>
      <c r="AJ23" s="5"/>
      <c r="AK23" s="29">
        <f t="shared" si="65"/>
        <v>878226.6878725061</v>
      </c>
      <c r="AL23" s="22">
        <f t="shared" si="66"/>
        <v>0.19419827615825305</v>
      </c>
      <c r="AM23" s="22">
        <f t="shared" si="67"/>
        <v>77.345441630456747</v>
      </c>
      <c r="AN23" s="22">
        <f t="shared" si="68"/>
        <v>0.44067933484366278</v>
      </c>
      <c r="AO23" s="22">
        <f t="shared" si="69"/>
        <v>2.269223721041433</v>
      </c>
      <c r="AP23" s="22">
        <f t="shared" si="70"/>
        <v>185.87617249542166</v>
      </c>
      <c r="AQ23" s="22">
        <f t="shared" si="71"/>
        <v>5.3799257138492625E-3</v>
      </c>
      <c r="AR23" s="22">
        <f t="shared" si="72"/>
        <v>7.3347976889954244E-2</v>
      </c>
      <c r="AS23" s="22">
        <f t="shared" si="73"/>
        <v>7.3341491375885415E-2</v>
      </c>
      <c r="AT23" s="29">
        <f t="shared" si="74"/>
        <v>77.338602655871171</v>
      </c>
      <c r="AU23" s="14"/>
      <c r="AV23" s="14"/>
      <c r="AY23" s="66" t="s">
        <v>118</v>
      </c>
      <c r="AZ23" s="17"/>
      <c r="BB23" s="10"/>
      <c r="BC23" s="11"/>
      <c r="BD23" s="11" t="s">
        <v>16</v>
      </c>
      <c r="BE23" s="11" t="s">
        <v>116</v>
      </c>
      <c r="BF23" s="11" t="s">
        <v>17</v>
      </c>
      <c r="BG23" s="1" t="s">
        <v>18</v>
      </c>
    </row>
    <row r="24" spans="2:66" ht="15.75" x14ac:dyDescent="0.25">
      <c r="B24" s="24">
        <f t="shared" si="42"/>
        <v>0</v>
      </c>
      <c r="C24" s="47"/>
      <c r="D24" s="5"/>
      <c r="E24" s="47"/>
      <c r="F24" s="5"/>
      <c r="G24" s="26">
        <f t="shared" si="43"/>
        <v>0</v>
      </c>
      <c r="H24" s="16" t="e">
        <f t="shared" si="44"/>
        <v>#DIV/0!</v>
      </c>
      <c r="I24" s="16" t="e">
        <f t="shared" si="45"/>
        <v>#DIV/0!</v>
      </c>
      <c r="J24" s="16" t="e">
        <f t="shared" si="46"/>
        <v>#DIV/0!</v>
      </c>
      <c r="K24" s="16" t="e">
        <f t="shared" si="47"/>
        <v>#DIV/0!</v>
      </c>
      <c r="L24" s="16" t="e">
        <f t="shared" si="48"/>
        <v>#DIV/0!</v>
      </c>
      <c r="M24" s="16" t="e">
        <f t="shared" si="49"/>
        <v>#DIV/0!</v>
      </c>
      <c r="N24" s="16" t="e">
        <f t="shared" si="50"/>
        <v>#DIV/0!</v>
      </c>
      <c r="O24" s="16" t="e">
        <f t="shared" si="51"/>
        <v>#DIV/0!</v>
      </c>
      <c r="P24" s="16" t="e">
        <f t="shared" si="52"/>
        <v>#DIV/0!</v>
      </c>
      <c r="Q24" s="5">
        <f t="shared" si="53"/>
        <v>5.1859659306438868</v>
      </c>
      <c r="R24" s="47">
        <v>1191</v>
      </c>
      <c r="S24" s="5"/>
      <c r="T24" s="47">
        <v>4.1500000000000004</v>
      </c>
      <c r="U24" s="5"/>
      <c r="V24" s="26">
        <f t="shared" si="54"/>
        <v>1473579.5515787713</v>
      </c>
      <c r="W24" s="16">
        <f t="shared" si="55"/>
        <v>7.9959661803302842E-2</v>
      </c>
      <c r="X24" s="16">
        <f t="shared" si="56"/>
        <v>17.981825720523396</v>
      </c>
      <c r="Y24" s="16">
        <f t="shared" si="57"/>
        <v>0.2827713949523587</v>
      </c>
      <c r="Z24" s="16">
        <f t="shared" si="58"/>
        <v>3.5364255997976031</v>
      </c>
      <c r="AA24" s="16">
        <f t="shared" si="59"/>
        <v>3438.9479275522203</v>
      </c>
      <c r="AB24" s="16">
        <f t="shared" si="60"/>
        <v>2.9078660714463959E-4</v>
      </c>
      <c r="AC24" s="16">
        <f t="shared" si="61"/>
        <v>1.7052466306802648E-2</v>
      </c>
      <c r="AD24" s="16">
        <f t="shared" si="62"/>
        <v>1.704644258840483E-2</v>
      </c>
      <c r="AE24" s="16">
        <f t="shared" si="63"/>
        <v>17.975473709472894</v>
      </c>
      <c r="AF24" s="5">
        <f t="shared" si="64"/>
        <v>3.9170623933593829</v>
      </c>
      <c r="AG24" s="47">
        <v>899.58579999999995</v>
      </c>
      <c r="AH24" s="5"/>
      <c r="AI24" s="47">
        <v>4.3901000000000003</v>
      </c>
      <c r="AJ24" s="5"/>
      <c r="AK24" s="29">
        <f t="shared" si="65"/>
        <v>1113023.7109745007</v>
      </c>
      <c r="AL24" s="22">
        <f t="shared" si="66"/>
        <v>0.14826396316514565</v>
      </c>
      <c r="AM24" s="22">
        <f t="shared" si="67"/>
        <v>53.029305974555704</v>
      </c>
      <c r="AN24" s="22">
        <f t="shared" si="68"/>
        <v>0.38505059818827142</v>
      </c>
      <c r="AO24" s="22">
        <f t="shared" si="69"/>
        <v>2.5970612815696694</v>
      </c>
      <c r="AP24" s="22">
        <f t="shared" si="70"/>
        <v>395.42241261804435</v>
      </c>
      <c r="AQ24" s="22">
        <f t="shared" si="71"/>
        <v>2.5289411224293534E-3</v>
      </c>
      <c r="AR24" s="22">
        <f t="shared" si="72"/>
        <v>5.0288578449080794E-2</v>
      </c>
      <c r="AS24" s="22">
        <f t="shared" si="73"/>
        <v>5.0282721768982727E-2</v>
      </c>
      <c r="AT24" s="29">
        <f t="shared" si="74"/>
        <v>53.023130105392283</v>
      </c>
      <c r="AU24" s="14"/>
      <c r="AV24" s="14"/>
      <c r="AY24" t="s">
        <v>19</v>
      </c>
      <c r="AZ24"/>
      <c r="BA24"/>
      <c r="BB24" s="10" t="s">
        <v>20</v>
      </c>
      <c r="BC24" s="11" t="s">
        <v>21</v>
      </c>
      <c r="BD24" s="11" t="s">
        <v>22</v>
      </c>
      <c r="BE24" s="11"/>
      <c r="BF24" s="11"/>
      <c r="BH24" t="s">
        <v>101</v>
      </c>
      <c r="BI24" t="s">
        <v>67</v>
      </c>
      <c r="BJ24" s="1" t="s">
        <v>114</v>
      </c>
    </row>
    <row r="25" spans="2:66" ht="15.75" x14ac:dyDescent="0.25">
      <c r="B25" s="24">
        <f t="shared" si="42"/>
        <v>0</v>
      </c>
      <c r="C25" s="47"/>
      <c r="D25" s="5"/>
      <c r="E25" s="47"/>
      <c r="F25" s="5"/>
      <c r="G25" s="26">
        <f t="shared" si="43"/>
        <v>0</v>
      </c>
      <c r="H25" s="16" t="e">
        <f t="shared" si="44"/>
        <v>#DIV/0!</v>
      </c>
      <c r="I25" s="16" t="e">
        <f t="shared" si="45"/>
        <v>#DIV/0!</v>
      </c>
      <c r="J25" s="16" t="e">
        <f t="shared" si="46"/>
        <v>#DIV/0!</v>
      </c>
      <c r="K25" s="16" t="e">
        <f t="shared" si="47"/>
        <v>#DIV/0!</v>
      </c>
      <c r="L25" s="16" t="e">
        <f t="shared" si="48"/>
        <v>#DIV/0!</v>
      </c>
      <c r="M25" s="16" t="e">
        <f t="shared" si="49"/>
        <v>#DIV/0!</v>
      </c>
      <c r="N25" s="16" t="e">
        <f t="shared" si="50"/>
        <v>#DIV/0!</v>
      </c>
      <c r="O25" s="16" t="e">
        <f t="shared" si="51"/>
        <v>#DIV/0!</v>
      </c>
      <c r="P25" s="16" t="e">
        <f t="shared" si="52"/>
        <v>#DIV/0!</v>
      </c>
      <c r="Q25" s="5">
        <f t="shared" si="53"/>
        <v>5.207737408102509</v>
      </c>
      <c r="R25" s="47">
        <v>1196</v>
      </c>
      <c r="S25" s="5"/>
      <c r="T25" s="47">
        <v>4.0999999999999996</v>
      </c>
      <c r="U25" s="5"/>
      <c r="V25" s="26">
        <f t="shared" si="54"/>
        <v>1479765.863718061</v>
      </c>
      <c r="W25" s="16">
        <f t="shared" si="55"/>
        <v>7.8337168919481254E-2</v>
      </c>
      <c r="X25" s="16">
        <f t="shared" si="56"/>
        <v>17.243138527179006</v>
      </c>
      <c r="Y25" s="16">
        <f t="shared" si="57"/>
        <v>0.2798877791535051</v>
      </c>
      <c r="Z25" s="16">
        <f t="shared" si="58"/>
        <v>3.5728605336910682</v>
      </c>
      <c r="AA25" s="16">
        <f t="shared" si="59"/>
        <v>3739.9046828835899</v>
      </c>
      <c r="AB25" s="16">
        <f t="shared" si="60"/>
        <v>2.6738649371913057E-4</v>
      </c>
      <c r="AC25" s="16">
        <f t="shared" si="61"/>
        <v>1.6351956877362739E-2</v>
      </c>
      <c r="AD25" s="16">
        <f t="shared" si="62"/>
        <v>1.6345896540278713E-2</v>
      </c>
      <c r="AE25" s="16">
        <f t="shared" si="63"/>
        <v>17.236747901723902</v>
      </c>
      <c r="AF25" s="5">
        <f t="shared" si="64"/>
        <v>3.9170623933593829</v>
      </c>
      <c r="AG25" s="47">
        <v>899.58579999999995</v>
      </c>
      <c r="AH25" s="5"/>
      <c r="AI25" s="47">
        <v>4.3901000000000003</v>
      </c>
      <c r="AJ25" s="5"/>
      <c r="AK25" s="29">
        <f t="shared" si="65"/>
        <v>1113023.7109745007</v>
      </c>
      <c r="AL25" s="22">
        <f t="shared" si="66"/>
        <v>0.14826396316514565</v>
      </c>
      <c r="AM25" s="22">
        <f t="shared" si="67"/>
        <v>53.029305974555704</v>
      </c>
      <c r="AN25" s="22">
        <f t="shared" si="68"/>
        <v>0.38505059818827142</v>
      </c>
      <c r="AO25" s="22">
        <f t="shared" si="69"/>
        <v>2.5970612815696694</v>
      </c>
      <c r="AP25" s="22">
        <f t="shared" si="70"/>
        <v>395.42241261804435</v>
      </c>
      <c r="AQ25" s="22">
        <f t="shared" si="71"/>
        <v>2.5289411224293534E-3</v>
      </c>
      <c r="AR25" s="22">
        <f t="shared" si="72"/>
        <v>5.0288578449080794E-2</v>
      </c>
      <c r="AS25" s="22">
        <f t="shared" si="73"/>
        <v>5.0282721768982727E-2</v>
      </c>
      <c r="AT25" s="29">
        <f t="shared" si="74"/>
        <v>53.023130105392283</v>
      </c>
      <c r="AU25" s="14"/>
      <c r="AV25" s="14"/>
      <c r="AY25" t="s">
        <v>23</v>
      </c>
      <c r="AZ25">
        <f>AZ26*AZ27</f>
        <v>546</v>
      </c>
      <c r="BA25"/>
      <c r="BB25" s="10">
        <v>25</v>
      </c>
      <c r="BC25" s="62">
        <v>40</v>
      </c>
      <c r="BD25" s="42">
        <f>(AZ$26*(AZ$27-15))*AZ$32*BC25</f>
        <v>313656.61053440493</v>
      </c>
      <c r="BE25" s="63">
        <f>BD25/100^3</f>
        <v>0.31365661053440491</v>
      </c>
      <c r="BF25" s="63">
        <f>(BD25/(1000)^3)/AY$3*100</f>
        <v>0.70955600087585824</v>
      </c>
      <c r="BG25" s="24">
        <f>(AZ$26*BB25/100*AZ$28/1000)/(2*PI()*H$4/2000)*100</f>
        <v>7.317468647903234</v>
      </c>
      <c r="BH25" s="1">
        <v>55.464823423470321</v>
      </c>
      <c r="BI25" s="1">
        <v>1.8891893522701249</v>
      </c>
      <c r="BJ25" s="1">
        <f>BI25/BH25*100</f>
        <v>3.406103608851843</v>
      </c>
    </row>
    <row r="26" spans="2:66" ht="15.75" x14ac:dyDescent="0.25">
      <c r="B26" s="24">
        <f t="shared" si="42"/>
        <v>0</v>
      </c>
      <c r="C26" s="47"/>
      <c r="D26" s="5"/>
      <c r="E26" s="47"/>
      <c r="F26" s="5"/>
      <c r="G26" s="26"/>
      <c r="H26" s="16"/>
      <c r="I26" s="56"/>
      <c r="J26" s="16"/>
      <c r="K26" s="16"/>
      <c r="L26" s="16"/>
      <c r="M26" s="16"/>
      <c r="N26" s="16"/>
      <c r="O26" s="16"/>
      <c r="P26" s="16"/>
      <c r="Q26" s="5">
        <f t="shared" si="53"/>
        <v>0</v>
      </c>
      <c r="R26" s="47"/>
      <c r="S26" s="5"/>
      <c r="T26" s="47"/>
      <c r="U26" s="5"/>
      <c r="V26" s="26"/>
      <c r="W26" s="16"/>
      <c r="X26" s="16"/>
      <c r="Y26" s="16"/>
      <c r="Z26" s="16"/>
      <c r="AA26" s="16"/>
      <c r="AB26" s="16"/>
      <c r="AC26" s="16"/>
      <c r="AD26" s="16"/>
      <c r="AE26" s="16"/>
      <c r="AF26" s="5">
        <f t="shared" si="64"/>
        <v>5.2218322626092224</v>
      </c>
      <c r="AG26" s="47">
        <v>1199.2370000000001</v>
      </c>
      <c r="AH26" s="5"/>
      <c r="AI26" s="47">
        <v>7.2554351399470134</v>
      </c>
      <c r="AJ26" s="5"/>
      <c r="AK26" s="29">
        <f t="shared" si="65"/>
        <v>1483770.8821970371</v>
      </c>
      <c r="AL26" s="22">
        <f t="shared" si="66"/>
        <v>0.13787953188654833</v>
      </c>
      <c r="AM26" s="22">
        <f t="shared" si="67"/>
        <v>47.479262398922458</v>
      </c>
      <c r="AN26" s="22">
        <f t="shared" si="68"/>
        <v>0.37132133238820031</v>
      </c>
      <c r="AO26" s="22">
        <f t="shared" si="69"/>
        <v>2.6930852412070512</v>
      </c>
      <c r="AP26" s="22">
        <f t="shared" si="70"/>
        <v>493.27061120885173</v>
      </c>
      <c r="AQ26" s="22">
        <f t="shared" si="71"/>
        <v>2.027284774881101E-3</v>
      </c>
      <c r="AR26" s="22">
        <f t="shared" si="72"/>
        <v>4.5025379230841586E-2</v>
      </c>
      <c r="AS26" s="22">
        <f t="shared" si="73"/>
        <v>4.5020823511332235E-2</v>
      </c>
      <c r="AT26" s="29">
        <f t="shared" si="74"/>
        <v>47.474458392699844</v>
      </c>
      <c r="AU26" s="14"/>
      <c r="AV26" s="14"/>
      <c r="AY26" t="s">
        <v>24</v>
      </c>
      <c r="AZ26">
        <v>26</v>
      </c>
      <c r="BA26"/>
      <c r="BB26" s="10">
        <v>25</v>
      </c>
      <c r="BC26" s="62">
        <v>30</v>
      </c>
      <c r="BD26" s="42">
        <f t="shared" ref="BD26:BD27" si="75">(AZ$26*(AZ$27-15))*AZ$32*BC26</f>
        <v>235242.45790080371</v>
      </c>
      <c r="BE26" s="63">
        <f t="shared" ref="BE26:BE33" si="76">BD26/100^3</f>
        <v>0.2352424579008037</v>
      </c>
      <c r="BF26" s="63">
        <f t="shared" ref="BF26:BF33" si="77">(BD26/(1000)^3)/AY$3*100</f>
        <v>0.53216700065689371</v>
      </c>
      <c r="BG26" s="24">
        <f t="shared" ref="BG26:BG33" si="78">(AZ$26*BB26/100*AZ$28/1000)/(2*PI()*H$4/2000)*100</f>
        <v>7.317468647903234</v>
      </c>
      <c r="BH26" s="1">
        <v>28.294374877910684</v>
      </c>
      <c r="BI26" s="1">
        <v>0.60077302499505458</v>
      </c>
      <c r="BJ26" s="1">
        <f>BI26/BH26*100</f>
        <v>2.1232949220025921</v>
      </c>
    </row>
    <row r="27" spans="2:66" ht="15.75" x14ac:dyDescent="0.25">
      <c r="B27" s="24">
        <f t="shared" si="42"/>
        <v>0</v>
      </c>
      <c r="C27" s="47"/>
      <c r="D27" s="5"/>
      <c r="E27" s="47"/>
      <c r="F27" s="5"/>
      <c r="G27" s="26">
        <f t="shared" si="43"/>
        <v>0</v>
      </c>
      <c r="H27" s="16" t="e">
        <f t="shared" si="44"/>
        <v>#DIV/0!</v>
      </c>
      <c r="I27" s="56" t="e">
        <f t="shared" si="45"/>
        <v>#DIV/0!</v>
      </c>
      <c r="J27" s="16" t="e">
        <f t="shared" si="46"/>
        <v>#DIV/0!</v>
      </c>
      <c r="K27" s="16" t="e">
        <f t="shared" si="47"/>
        <v>#DIV/0!</v>
      </c>
      <c r="L27" s="16" t="e">
        <f t="shared" si="48"/>
        <v>#DIV/0!</v>
      </c>
      <c r="M27" s="16" t="e">
        <f t="shared" si="49"/>
        <v>#DIV/0!</v>
      </c>
      <c r="N27" s="16" t="e">
        <f t="shared" si="50"/>
        <v>#DIV/0!</v>
      </c>
      <c r="O27" s="16" t="e">
        <f t="shared" si="51"/>
        <v>#DIV/0!</v>
      </c>
      <c r="P27" s="16" t="e">
        <f t="shared" si="52"/>
        <v>#DIV/0!</v>
      </c>
      <c r="Q27" s="5">
        <f t="shared" si="53"/>
        <v>6.6925521707805657</v>
      </c>
      <c r="R27" s="47">
        <v>1537</v>
      </c>
      <c r="S27" s="5"/>
      <c r="T27" s="47">
        <v>6.51</v>
      </c>
      <c r="U27" s="5"/>
      <c r="V27" s="26">
        <f t="shared" si="54"/>
        <v>1901672.3516176085</v>
      </c>
      <c r="W27" s="16">
        <f t="shared" si="55"/>
        <v>7.5314678820338349E-2</v>
      </c>
      <c r="X27" s="16">
        <f t="shared" si="56"/>
        <v>15.889962185039026</v>
      </c>
      <c r="Y27" s="16">
        <f t="shared" si="57"/>
        <v>0.27443519967441921</v>
      </c>
      <c r="Z27" s="16">
        <f t="shared" si="58"/>
        <v>3.6438474408033907</v>
      </c>
      <c r="AA27" s="16">
        <f t="shared" si="59"/>
        <v>4404.0013233837954</v>
      </c>
      <c r="AB27" s="16">
        <f t="shared" si="60"/>
        <v>2.2706623512811625E-4</v>
      </c>
      <c r="AC27" s="16">
        <f t="shared" si="61"/>
        <v>1.5068717102929374E-2</v>
      </c>
      <c r="AD27" s="16">
        <f t="shared" si="62"/>
        <v>1.5063907621911975E-2</v>
      </c>
      <c r="AE27" s="16">
        <f t="shared" si="63"/>
        <v>15.884890587306177</v>
      </c>
      <c r="AF27" s="5">
        <f t="shared" si="64"/>
        <v>5.6484095290469964</v>
      </c>
      <c r="AG27" s="47">
        <v>1297.204</v>
      </c>
      <c r="AH27" s="5"/>
      <c r="AI27" s="47">
        <v>8.0696383047071656</v>
      </c>
      <c r="AJ27" s="5"/>
      <c r="AK27" s="29">
        <f t="shared" si="65"/>
        <v>1604981.7704669929</v>
      </c>
      <c r="AL27" s="22">
        <f t="shared" si="66"/>
        <v>0.13106414109732648</v>
      </c>
      <c r="AM27" s="22">
        <f t="shared" si="67"/>
        <v>43.846733695264405</v>
      </c>
      <c r="AN27" s="22">
        <f t="shared" si="68"/>
        <v>0.36202781812635126</v>
      </c>
      <c r="AO27" s="22">
        <f t="shared" si="69"/>
        <v>2.7622186747289961</v>
      </c>
      <c r="AP27" s="22">
        <f t="shared" si="70"/>
        <v>578.38720198670444</v>
      </c>
      <c r="AQ27" s="22">
        <f t="shared" si="71"/>
        <v>1.7289455862181877E-3</v>
      </c>
      <c r="AR27" s="22">
        <f t="shared" si="72"/>
        <v>4.1580591460658511E-2</v>
      </c>
      <c r="AS27" s="22">
        <f t="shared" si="73"/>
        <v>4.1576271680209199E-2</v>
      </c>
      <c r="AT27" s="29">
        <f t="shared" si="74"/>
        <v>43.842178486780604</v>
      </c>
      <c r="AU27" s="14"/>
      <c r="AV27" s="14"/>
      <c r="AY27" t="s">
        <v>28</v>
      </c>
      <c r="AZ27">
        <v>21</v>
      </c>
      <c r="BA27">
        <f>AZ27*AZ26</f>
        <v>546</v>
      </c>
      <c r="BB27" s="10">
        <v>25</v>
      </c>
      <c r="BC27" s="62">
        <v>20</v>
      </c>
      <c r="BD27" s="42">
        <f t="shared" si="75"/>
        <v>156828.30526720246</v>
      </c>
      <c r="BE27" s="63">
        <f t="shared" si="76"/>
        <v>0.15682830526720246</v>
      </c>
      <c r="BF27" s="63">
        <f t="shared" si="77"/>
        <v>0.35477800043792912</v>
      </c>
      <c r="BG27" s="24">
        <f t="shared" si="78"/>
        <v>7.317468647903234</v>
      </c>
    </row>
    <row r="28" spans="2:66" ht="15.75" x14ac:dyDescent="0.25">
      <c r="B28" s="24">
        <f t="shared" si="42"/>
        <v>0</v>
      </c>
      <c r="C28" s="47"/>
      <c r="D28" s="5"/>
      <c r="E28" s="47"/>
      <c r="F28" s="5"/>
      <c r="G28" s="26">
        <f t="shared" si="43"/>
        <v>0</v>
      </c>
      <c r="H28" s="16" t="e">
        <f t="shared" si="44"/>
        <v>#DIV/0!</v>
      </c>
      <c r="I28" s="56" t="e">
        <f t="shared" si="45"/>
        <v>#DIV/0!</v>
      </c>
      <c r="J28" s="16" t="e">
        <f t="shared" si="46"/>
        <v>#DIV/0!</v>
      </c>
      <c r="K28" s="16" t="e">
        <f t="shared" si="47"/>
        <v>#DIV/0!</v>
      </c>
      <c r="L28" s="16" t="e">
        <f t="shared" si="48"/>
        <v>#DIV/0!</v>
      </c>
      <c r="M28" s="16" t="e">
        <f t="shared" si="49"/>
        <v>#DIV/0!</v>
      </c>
      <c r="N28" s="16" t="e">
        <f t="shared" si="50"/>
        <v>#DIV/0!</v>
      </c>
      <c r="O28" s="16" t="e">
        <f t="shared" si="51"/>
        <v>#DIV/0!</v>
      </c>
      <c r="P28" s="16" t="e">
        <f t="shared" si="52"/>
        <v>#DIV/0!</v>
      </c>
      <c r="Q28" s="5">
        <f t="shared" si="53"/>
        <v>7.9465892723972233</v>
      </c>
      <c r="R28" s="47">
        <v>1825</v>
      </c>
      <c r="S28" s="5"/>
      <c r="T28" s="47">
        <v>7.65</v>
      </c>
      <c r="U28" s="5"/>
      <c r="V28" s="26">
        <f t="shared" si="54"/>
        <v>2258003.9308406864</v>
      </c>
      <c r="W28" s="16">
        <f t="shared" si="55"/>
        <v>6.2774328014758449E-2</v>
      </c>
      <c r="X28" s="16">
        <f t="shared" si="56"/>
        <v>10.651761551520567</v>
      </c>
      <c r="Y28" s="16">
        <f t="shared" si="57"/>
        <v>0.25054805530029256</v>
      </c>
      <c r="Z28" s="16">
        <f t="shared" si="58"/>
        <v>3.9912502964808776</v>
      </c>
      <c r="AA28" s="16">
        <f t="shared" si="59"/>
        <v>9800.5465654184063</v>
      </c>
      <c r="AB28" s="16">
        <f t="shared" si="60"/>
        <v>1.0203512562539494E-4</v>
      </c>
      <c r="AC28" s="16">
        <f t="shared" si="61"/>
        <v>1.0101243766259427E-2</v>
      </c>
      <c r="AD28" s="16">
        <f t="shared" si="62"/>
        <v>1.0096807087426704E-2</v>
      </c>
      <c r="AE28" s="16">
        <f t="shared" si="63"/>
        <v>10.64708307369146</v>
      </c>
      <c r="AF28" s="5">
        <f t="shared" si="64"/>
        <v>6.5320615475465837</v>
      </c>
      <c r="AG28" s="47">
        <v>1500.1420000000001</v>
      </c>
      <c r="AH28" s="5"/>
      <c r="AI28" s="47">
        <v>9.2713366047920349</v>
      </c>
      <c r="AJ28" s="5"/>
      <c r="AK28" s="29">
        <f t="shared" si="65"/>
        <v>1856069.3330516217</v>
      </c>
      <c r="AL28" s="22">
        <f t="shared" si="66"/>
        <v>0.1125962646138336</v>
      </c>
      <c r="AM28" s="22">
        <f t="shared" si="67"/>
        <v>34.117089936585188</v>
      </c>
      <c r="AN28" s="22">
        <f t="shared" si="68"/>
        <v>0.33555366875335096</v>
      </c>
      <c r="AO28" s="22">
        <f t="shared" si="69"/>
        <v>2.9801492074731297</v>
      </c>
      <c r="AP28" s="22">
        <f t="shared" si="70"/>
        <v>955.32074241496139</v>
      </c>
      <c r="AQ28" s="22">
        <f t="shared" si="71"/>
        <v>1.0467688553187839E-3</v>
      </c>
      <c r="AR28" s="22">
        <f t="shared" si="72"/>
        <v>3.2353807431564893E-2</v>
      </c>
      <c r="AS28" s="22">
        <f t="shared" si="73"/>
        <v>3.23497773156756E-2</v>
      </c>
      <c r="AT28" s="29">
        <f t="shared" si="74"/>
        <v>34.112840179379923</v>
      </c>
      <c r="AU28" s="14"/>
      <c r="AV28" s="14"/>
      <c r="AY28" t="s">
        <v>29</v>
      </c>
      <c r="AZ28">
        <v>8</v>
      </c>
      <c r="BA28" t="s">
        <v>30</v>
      </c>
      <c r="BB28" s="10">
        <v>50</v>
      </c>
      <c r="BC28" s="62">
        <v>40</v>
      </c>
      <c r="BD28" s="42">
        <f>(AZ$26*(AZ$27-10))*AZ$32*BC28</f>
        <v>575037.11931307579</v>
      </c>
      <c r="BE28" s="63">
        <f t="shared" si="76"/>
        <v>0.57503711931307577</v>
      </c>
      <c r="BF28" s="63">
        <f t="shared" si="77"/>
        <v>1.3008526682724071</v>
      </c>
      <c r="BG28" s="24">
        <f t="shared" si="78"/>
        <v>14.634937295806468</v>
      </c>
      <c r="BH28" s="1">
        <v>93.717414740939773</v>
      </c>
      <c r="BI28" s="1">
        <v>4.1460111637927044</v>
      </c>
      <c r="BJ28" s="1">
        <f t="shared" ref="BJ28:BJ32" si="79">BI28/BH28*100</f>
        <v>4.4239495671678508</v>
      </c>
    </row>
    <row r="29" spans="2:66" ht="15.75" x14ac:dyDescent="0.25">
      <c r="B29" s="24">
        <f t="shared" si="42"/>
        <v>0</v>
      </c>
      <c r="C29" s="47"/>
      <c r="D29" s="5"/>
      <c r="E29" s="47"/>
      <c r="F29" s="5"/>
      <c r="G29" s="26">
        <f t="shared" si="43"/>
        <v>0</v>
      </c>
      <c r="H29" s="16" t="e">
        <f t="shared" si="44"/>
        <v>#DIV/0!</v>
      </c>
      <c r="I29" s="56" t="e">
        <f t="shared" si="45"/>
        <v>#DIV/0!</v>
      </c>
      <c r="J29" s="16" t="e">
        <f t="shared" si="46"/>
        <v>#DIV/0!</v>
      </c>
      <c r="K29" s="16" t="e">
        <f t="shared" si="47"/>
        <v>#DIV/0!</v>
      </c>
      <c r="L29" s="16" t="e">
        <f t="shared" si="48"/>
        <v>#DIV/0!</v>
      </c>
      <c r="M29" s="16" t="e">
        <f t="shared" si="49"/>
        <v>#DIV/0!</v>
      </c>
      <c r="N29" s="16" t="e">
        <f t="shared" si="50"/>
        <v>#DIV/0!</v>
      </c>
      <c r="O29" s="16" t="e">
        <f t="shared" si="51"/>
        <v>#DIV/0!</v>
      </c>
      <c r="P29" s="16" t="e">
        <f t="shared" si="52"/>
        <v>#DIV/0!</v>
      </c>
      <c r="Q29" s="5">
        <f t="shared" si="53"/>
        <v>7.9204634994468774</v>
      </c>
      <c r="R29" s="47">
        <v>1819</v>
      </c>
      <c r="S29" s="5"/>
      <c r="T29" s="47">
        <v>7.7</v>
      </c>
      <c r="U29" s="5"/>
      <c r="V29" s="26">
        <f t="shared" si="54"/>
        <v>2250580.3562735398</v>
      </c>
      <c r="W29" s="16">
        <f t="shared" si="55"/>
        <v>6.3602136105157428E-2</v>
      </c>
      <c r="X29" s="16">
        <f t="shared" si="56"/>
        <v>10.976172248677747</v>
      </c>
      <c r="Y29" s="16">
        <f t="shared" si="57"/>
        <v>0.25219463932676567</v>
      </c>
      <c r="Z29" s="16">
        <f t="shared" si="58"/>
        <v>3.9651913405832215</v>
      </c>
      <c r="AA29" s="16">
        <f t="shared" si="59"/>
        <v>9229.779813584104</v>
      </c>
      <c r="AB29" s="16">
        <f t="shared" si="60"/>
        <v>1.0834494648813084E-4</v>
      </c>
      <c r="AC29" s="16">
        <f t="shared" si="61"/>
        <v>1.040888786029184E-2</v>
      </c>
      <c r="AD29" s="16">
        <f t="shared" si="62"/>
        <v>1.0404465609721173E-2</v>
      </c>
      <c r="AE29" s="16">
        <f t="shared" si="63"/>
        <v>10.971508985450978</v>
      </c>
      <c r="AF29" s="5">
        <f t="shared" si="64"/>
        <v>6.5320615475465837</v>
      </c>
      <c r="AG29" s="47">
        <v>1500.1420000000001</v>
      </c>
      <c r="AH29" s="5"/>
      <c r="AI29" s="47">
        <v>9.2713366047920349</v>
      </c>
      <c r="AJ29" s="5"/>
      <c r="AK29" s="29">
        <f t="shared" si="65"/>
        <v>1856069.3330516217</v>
      </c>
      <c r="AL29" s="22">
        <f t="shared" si="66"/>
        <v>0.1125962646138336</v>
      </c>
      <c r="AM29" s="22">
        <f t="shared" si="67"/>
        <v>34.117089936585188</v>
      </c>
      <c r="AN29" s="22">
        <f t="shared" si="68"/>
        <v>0.33555366875335096</v>
      </c>
      <c r="AO29" s="22">
        <f t="shared" si="69"/>
        <v>2.9801492074731297</v>
      </c>
      <c r="AP29" s="22">
        <f t="shared" si="70"/>
        <v>955.32074241496139</v>
      </c>
      <c r="AQ29" s="22">
        <f t="shared" si="71"/>
        <v>1.0467688553187839E-3</v>
      </c>
      <c r="AR29" s="22">
        <f t="shared" si="72"/>
        <v>3.2353807431564893E-2</v>
      </c>
      <c r="AS29" s="22">
        <f t="shared" si="73"/>
        <v>3.23497773156756E-2</v>
      </c>
      <c r="AT29" s="29">
        <f t="shared" si="74"/>
        <v>34.112840179379923</v>
      </c>
      <c r="AU29" s="14"/>
      <c r="AV29" s="14"/>
      <c r="AY29" t="s">
        <v>31</v>
      </c>
      <c r="AZ29">
        <v>226.2</v>
      </c>
      <c r="BA29" t="s">
        <v>30</v>
      </c>
      <c r="BB29" s="10">
        <v>50</v>
      </c>
      <c r="BC29" s="62">
        <v>30</v>
      </c>
      <c r="BD29" s="42">
        <f t="shared" ref="BD29:BD30" si="80">(AZ$26*(AZ$27-10))*AZ$32*BC29</f>
        <v>431277.83948480681</v>
      </c>
      <c r="BE29" s="63">
        <f t="shared" si="76"/>
        <v>0.4312778394848068</v>
      </c>
      <c r="BF29" s="63">
        <f t="shared" si="77"/>
        <v>0.9756395012043052</v>
      </c>
      <c r="BG29" s="24">
        <f t="shared" si="78"/>
        <v>14.634937295806468</v>
      </c>
      <c r="BH29" s="1">
        <v>57.2851658852356</v>
      </c>
      <c r="BI29" s="1">
        <v>5.1525081355086773</v>
      </c>
      <c r="BJ29" s="1">
        <f t="shared" si="79"/>
        <v>8.9944893339946841</v>
      </c>
    </row>
    <row r="30" spans="2:66" ht="15.75" x14ac:dyDescent="0.25">
      <c r="B30" s="24">
        <f t="shared" si="42"/>
        <v>0</v>
      </c>
      <c r="C30" s="47"/>
      <c r="D30" s="5"/>
      <c r="E30" s="47"/>
      <c r="F30" s="5"/>
      <c r="G30" s="26"/>
      <c r="H30" s="16"/>
      <c r="I30" s="16"/>
      <c r="J30" s="16"/>
      <c r="K30" s="16"/>
      <c r="L30" s="16"/>
      <c r="M30" s="16"/>
      <c r="N30" s="16"/>
      <c r="O30" s="16"/>
      <c r="P30" s="16"/>
      <c r="Q30" s="5">
        <f t="shared" si="53"/>
        <v>0</v>
      </c>
      <c r="R30" s="47"/>
      <c r="S30" s="5"/>
      <c r="T30" s="47"/>
      <c r="U30" s="5"/>
      <c r="V30" s="26"/>
      <c r="W30" s="16"/>
      <c r="X30" s="16"/>
      <c r="Y30" s="16"/>
      <c r="Z30" s="16"/>
      <c r="AA30" s="16"/>
      <c r="AB30" s="16"/>
      <c r="AC30" s="16"/>
      <c r="AD30" s="16"/>
      <c r="AE30" s="16"/>
      <c r="AF30" s="5">
        <f t="shared" si="64"/>
        <v>7.4893882457661505</v>
      </c>
      <c r="AG30" s="47">
        <v>1720</v>
      </c>
      <c r="AH30" s="5"/>
      <c r="AI30" s="47">
        <v>11</v>
      </c>
      <c r="AJ30" s="5"/>
      <c r="AK30" s="29">
        <f t="shared" si="65"/>
        <v>2128091.375915606</v>
      </c>
      <c r="AL30" s="22">
        <f t="shared" si="66"/>
        <v>0.10162069625542612</v>
      </c>
      <c r="AM30" s="22">
        <f t="shared" si="67"/>
        <v>28.481759527180468</v>
      </c>
      <c r="AN30" s="22">
        <f t="shared" si="68"/>
        <v>0.31878001232107717</v>
      </c>
      <c r="AO30" s="22">
        <f t="shared" si="69"/>
        <v>3.1369595374530381</v>
      </c>
      <c r="AP30" s="22">
        <f t="shared" si="70"/>
        <v>1370.7540491750319</v>
      </c>
      <c r="AQ30" s="22">
        <f t="shared" si="71"/>
        <v>7.2952547585165644E-4</v>
      </c>
      <c r="AR30" s="22">
        <f t="shared" si="72"/>
        <v>2.7009729281347053E-2</v>
      </c>
      <c r="AS30" s="22">
        <f t="shared" si="73"/>
        <v>2.7006029361067257E-2</v>
      </c>
      <c r="AT30" s="29">
        <f t="shared" si="74"/>
        <v>28.477857961245423</v>
      </c>
      <c r="AU30" s="14"/>
      <c r="AV30" s="14"/>
      <c r="AY30" t="s">
        <v>119</v>
      </c>
      <c r="AZ30" s="8">
        <f>2*PI()*AZ29/2</f>
        <v>710.62825824201116</v>
      </c>
      <c r="BA30" t="s">
        <v>30</v>
      </c>
      <c r="BB30" s="10">
        <v>50</v>
      </c>
      <c r="BC30" s="62">
        <v>20</v>
      </c>
      <c r="BD30" s="42">
        <f t="shared" si="80"/>
        <v>287518.55965653789</v>
      </c>
      <c r="BE30" s="63">
        <f t="shared" si="76"/>
        <v>0.28751855965653789</v>
      </c>
      <c r="BF30" s="63">
        <f t="shared" si="77"/>
        <v>0.65042633413620354</v>
      </c>
      <c r="BG30" s="24">
        <f t="shared" si="78"/>
        <v>14.634937295806468</v>
      </c>
    </row>
    <row r="31" spans="2:66" ht="15.75" x14ac:dyDescent="0.25">
      <c r="B31" s="24">
        <f t="shared" si="42"/>
        <v>0</v>
      </c>
      <c r="C31" s="47"/>
      <c r="D31" s="5"/>
      <c r="E31" s="47"/>
      <c r="F31" s="5"/>
      <c r="G31" s="26"/>
      <c r="H31" s="16"/>
      <c r="I31" s="16"/>
      <c r="J31" s="16"/>
      <c r="K31" s="16"/>
      <c r="L31" s="16"/>
      <c r="M31" s="16"/>
      <c r="N31" s="16"/>
      <c r="O31" s="16"/>
      <c r="P31" s="16"/>
      <c r="Q31" s="5">
        <f t="shared" si="53"/>
        <v>0</v>
      </c>
      <c r="R31" s="47"/>
      <c r="S31" s="5"/>
      <c r="T31" s="47"/>
      <c r="U31" s="5"/>
      <c r="V31" s="26"/>
      <c r="W31" s="16"/>
      <c r="X31" s="16"/>
      <c r="Y31" s="16"/>
      <c r="Z31" s="16"/>
      <c r="AA31" s="16"/>
      <c r="AB31" s="16"/>
      <c r="AC31" s="16"/>
      <c r="AD31" s="16"/>
      <c r="AE31" s="16"/>
      <c r="AF31" s="5">
        <f t="shared" si="64"/>
        <v>7.4676167683075274</v>
      </c>
      <c r="AG31" s="47">
        <v>1715</v>
      </c>
      <c r="AH31" s="5"/>
      <c r="AI31" s="47">
        <v>10.95</v>
      </c>
      <c r="AJ31" s="5"/>
      <c r="AK31" s="29">
        <f t="shared" si="65"/>
        <v>2121905.0637763161</v>
      </c>
      <c r="AL31" s="22">
        <f t="shared" si="66"/>
        <v>0.10174949097222097</v>
      </c>
      <c r="AM31" s="22">
        <f t="shared" si="67"/>
        <v>28.546957085108421</v>
      </c>
      <c r="AN31" s="22">
        <f t="shared" si="68"/>
        <v>0.31898196026142445</v>
      </c>
      <c r="AO31" s="22">
        <f t="shared" si="69"/>
        <v>3.1349735238332639</v>
      </c>
      <c r="AP31" s="22">
        <f t="shared" si="70"/>
        <v>1364.4999491875151</v>
      </c>
      <c r="AQ31" s="22">
        <f t="shared" si="71"/>
        <v>7.3286921014210752E-4</v>
      </c>
      <c r="AR31" s="22">
        <f t="shared" si="72"/>
        <v>2.7071557216793191E-2</v>
      </c>
      <c r="AS31" s="22">
        <f t="shared" si="73"/>
        <v>2.706784885882791E-2</v>
      </c>
      <c r="AT31" s="29">
        <f t="shared" si="74"/>
        <v>28.543046621634033</v>
      </c>
      <c r="AU31" s="14"/>
      <c r="AV31" s="14"/>
      <c r="AY31" t="s">
        <v>33</v>
      </c>
      <c r="AZ31" s="8">
        <f>AZ30/AZ26</f>
        <v>27.331856086231198</v>
      </c>
      <c r="BA31" t="s">
        <v>30</v>
      </c>
      <c r="BB31" s="10">
        <v>75</v>
      </c>
      <c r="BC31" s="62">
        <v>40</v>
      </c>
      <c r="BD31" s="42">
        <f>(AZ$26*(AZ$27-5))*AZ$32*BC31</f>
        <v>836417.62809174659</v>
      </c>
      <c r="BE31" s="63">
        <f t="shared" si="76"/>
        <v>0.83641762809174658</v>
      </c>
      <c r="BF31" s="63">
        <f t="shared" si="77"/>
        <v>1.8921493356689554</v>
      </c>
      <c r="BG31" s="24">
        <f t="shared" si="78"/>
        <v>21.952405943709703</v>
      </c>
      <c r="BH31" s="1">
        <v>132.50726748277299</v>
      </c>
      <c r="BI31" s="1">
        <v>4.6548434461377521</v>
      </c>
      <c r="BJ31" s="1">
        <f t="shared" si="79"/>
        <v>3.5128967146974936</v>
      </c>
    </row>
    <row r="32" spans="2:66" ht="15.75" x14ac:dyDescent="0.25">
      <c r="B32" s="24">
        <f t="shared" si="42"/>
        <v>0</v>
      </c>
      <c r="C32" s="47"/>
      <c r="D32" s="5"/>
      <c r="E32" s="47"/>
      <c r="F32" s="5"/>
      <c r="G32" s="26"/>
      <c r="H32" s="16"/>
      <c r="I32" s="16"/>
      <c r="J32" s="16"/>
      <c r="K32" s="16"/>
      <c r="L32" s="16"/>
      <c r="M32" s="16"/>
      <c r="N32" s="16"/>
      <c r="O32" s="16"/>
      <c r="P32" s="16"/>
      <c r="Q32" s="5">
        <f t="shared" si="53"/>
        <v>0</v>
      </c>
      <c r="R32" s="47"/>
      <c r="S32" s="5"/>
      <c r="T32" s="47"/>
      <c r="U32" s="5"/>
      <c r="V32" s="26"/>
      <c r="W32" s="16"/>
      <c r="X32" s="16"/>
      <c r="Y32" s="16"/>
      <c r="Z32" s="16"/>
      <c r="AA32" s="16"/>
      <c r="AB32" s="16"/>
      <c r="AC32" s="16"/>
      <c r="AD32" s="16"/>
      <c r="AE32" s="16"/>
      <c r="AF32" s="5">
        <f t="shared" si="64"/>
        <v>0</v>
      </c>
      <c r="AG32" s="47"/>
      <c r="AH32" s="5"/>
      <c r="AI32" s="47"/>
      <c r="AJ32" s="5"/>
      <c r="AK32" s="29"/>
      <c r="AL32" s="22"/>
      <c r="AM32" s="22"/>
      <c r="AN32" s="22"/>
      <c r="AO32" s="22"/>
      <c r="AP32" s="22"/>
      <c r="AQ32" s="22"/>
      <c r="AR32" s="22"/>
      <c r="AS32" s="22"/>
      <c r="AT32" s="29"/>
      <c r="AU32" s="14"/>
      <c r="AV32" s="14"/>
      <c r="AY32" t="s">
        <v>34</v>
      </c>
      <c r="AZ32" s="8">
        <f>PI()*(AZ28/2)^2</f>
        <v>50.26548245743669</v>
      </c>
      <c r="BA32" t="s">
        <v>35</v>
      </c>
      <c r="BB32" s="10">
        <v>75</v>
      </c>
      <c r="BC32" s="62">
        <v>30</v>
      </c>
      <c r="BD32" s="42">
        <f t="shared" ref="BD32:BD33" si="81">(AZ$26*(AZ$27-5))*AZ$32*BC32</f>
        <v>627313.22106880997</v>
      </c>
      <c r="BE32" s="63">
        <f t="shared" si="76"/>
        <v>0.62731322106880993</v>
      </c>
      <c r="BF32" s="63">
        <f t="shared" si="77"/>
        <v>1.4191120017517167</v>
      </c>
      <c r="BG32" s="24">
        <f t="shared" si="78"/>
        <v>21.952405943709703</v>
      </c>
      <c r="BH32" s="1">
        <v>73.472958199901569</v>
      </c>
      <c r="BI32" s="1">
        <v>6.2558287482267287</v>
      </c>
      <c r="BJ32" s="1">
        <f t="shared" si="79"/>
        <v>8.5144642348633646</v>
      </c>
    </row>
    <row r="33" spans="2:63" ht="15.75" x14ac:dyDescent="0.25">
      <c r="B33" s="24">
        <f t="shared" si="42"/>
        <v>0</v>
      </c>
      <c r="C33" s="47"/>
      <c r="D33" s="5"/>
      <c r="E33" s="47"/>
      <c r="F33" s="5"/>
      <c r="G33" s="26"/>
      <c r="H33" s="16"/>
      <c r="I33" s="16"/>
      <c r="J33" s="16"/>
      <c r="K33" s="16"/>
      <c r="L33" s="16"/>
      <c r="M33" s="16"/>
      <c r="N33" s="16"/>
      <c r="O33" s="16"/>
      <c r="P33" s="16"/>
      <c r="Q33" s="5">
        <f t="shared" si="53"/>
        <v>0</v>
      </c>
      <c r="R33" s="47"/>
      <c r="S33" s="5"/>
      <c r="T33" s="47"/>
      <c r="U33" s="5"/>
      <c r="V33" s="26"/>
      <c r="W33" s="16"/>
      <c r="X33" s="16"/>
      <c r="Y33" s="16"/>
      <c r="Z33" s="16"/>
      <c r="AA33" s="16"/>
      <c r="AB33" s="16"/>
      <c r="AC33" s="16"/>
      <c r="AD33" s="16"/>
      <c r="AE33" s="16"/>
      <c r="AF33" s="5">
        <f t="shared" si="64"/>
        <v>0</v>
      </c>
      <c r="AG33" s="47"/>
      <c r="AH33" s="5"/>
      <c r="AI33" s="47"/>
      <c r="AJ33" s="5"/>
      <c r="AK33" s="29"/>
      <c r="AL33" s="22"/>
      <c r="AM33" s="22"/>
      <c r="AN33" s="22"/>
      <c r="AO33" s="22"/>
      <c r="AP33" s="22"/>
      <c r="AQ33" s="22"/>
      <c r="AR33" s="22"/>
      <c r="AS33" s="22"/>
      <c r="AT33" s="29"/>
      <c r="AU33" s="14"/>
      <c r="AV33" s="14"/>
      <c r="AZ33" s="17"/>
      <c r="BB33" s="10">
        <v>75</v>
      </c>
      <c r="BC33" s="62">
        <v>20</v>
      </c>
      <c r="BD33" s="42">
        <f t="shared" si="81"/>
        <v>418208.8140458733</v>
      </c>
      <c r="BE33" s="63">
        <f t="shared" si="76"/>
        <v>0.41820881404587329</v>
      </c>
      <c r="BF33" s="63">
        <f t="shared" si="77"/>
        <v>0.94607466783447769</v>
      </c>
      <c r="BG33" s="24">
        <f t="shared" si="78"/>
        <v>21.952405943709703</v>
      </c>
    </row>
    <row r="34" spans="2:63" s="23" customFormat="1" ht="15.75" x14ac:dyDescent="0.25">
      <c r="B34" s="31" t="s">
        <v>102</v>
      </c>
      <c r="C34" s="30"/>
      <c r="D34" s="30"/>
      <c r="E34" s="30"/>
      <c r="F34" s="30"/>
      <c r="G34" s="38"/>
      <c r="H34" s="32"/>
      <c r="I34" s="32" t="e">
        <f>AVERAGE(I26:I29)</f>
        <v>#DIV/0!</v>
      </c>
      <c r="J34" s="32"/>
      <c r="K34" s="32"/>
      <c r="L34" s="32"/>
      <c r="M34" s="32"/>
      <c r="N34" s="32"/>
      <c r="O34" s="32"/>
      <c r="P34" s="32" t="e">
        <f>AVERAGE(P26:P29)</f>
        <v>#DIV/0!</v>
      </c>
      <c r="Q34" s="30"/>
      <c r="R34" s="30"/>
      <c r="S34" s="30"/>
      <c r="T34" s="30"/>
      <c r="U34" s="30"/>
      <c r="V34" s="38"/>
      <c r="W34" s="32"/>
      <c r="X34" s="32">
        <f>AVERAGE(X27:X30)</f>
        <v>12.505965328412445</v>
      </c>
      <c r="Y34" s="32"/>
      <c r="Z34" s="32"/>
      <c r="AA34" s="32"/>
      <c r="AB34" s="32"/>
      <c r="AC34" s="32"/>
      <c r="AD34" s="32"/>
      <c r="AE34" s="32">
        <f>AVERAGE(AE27:AE30)</f>
        <v>12.50116088214954</v>
      </c>
      <c r="AF34" s="30"/>
      <c r="AG34" s="30"/>
      <c r="AH34" s="30"/>
      <c r="AI34" s="30"/>
      <c r="AJ34" s="30"/>
      <c r="AK34" s="39"/>
      <c r="AL34" s="40"/>
      <c r="AM34" s="40">
        <f>AVERAGE(AM28:AM31)</f>
        <v>31.315724121364816</v>
      </c>
      <c r="AN34" s="40"/>
      <c r="AO34" s="40"/>
      <c r="AP34" s="40"/>
      <c r="AQ34" s="40"/>
      <c r="AR34" s="40"/>
      <c r="AS34" s="40"/>
      <c r="AT34" s="39">
        <f>AVERAGE(AT28:AT31)</f>
        <v>31.311646235409825</v>
      </c>
      <c r="AU34" s="41"/>
      <c r="AV34" s="41"/>
      <c r="AZ34" s="35"/>
      <c r="BB34" s="10"/>
      <c r="BC34" s="11"/>
      <c r="BD34" s="11"/>
      <c r="BE34" s="11"/>
      <c r="BF34" s="11"/>
    </row>
    <row r="35" spans="2:63" s="23" customFormat="1" ht="15" x14ac:dyDescent="0.25">
      <c r="B35" s="31" t="s">
        <v>67</v>
      </c>
      <c r="C35" s="30"/>
      <c r="D35" s="30"/>
      <c r="E35" s="30"/>
      <c r="F35" s="30"/>
      <c r="G35" s="38"/>
      <c r="H35" s="32"/>
      <c r="I35" s="32" t="e">
        <f>STDEV(I26:I29)</f>
        <v>#DIV/0!</v>
      </c>
      <c r="J35" s="32"/>
      <c r="K35" s="32"/>
      <c r="L35" s="32"/>
      <c r="M35" s="32"/>
      <c r="N35" s="32"/>
      <c r="O35" s="32"/>
      <c r="P35" s="32" t="e">
        <f>STDEV(P26:P29)</f>
        <v>#DIV/0!</v>
      </c>
      <c r="Q35" s="30"/>
      <c r="R35" s="30"/>
      <c r="S35" s="30"/>
      <c r="T35" s="30"/>
      <c r="U35" s="30"/>
      <c r="V35" s="38"/>
      <c r="W35" s="32"/>
      <c r="X35" s="32">
        <f>STDEV(X27:X30)</f>
        <v>2.9351127098207774</v>
      </c>
      <c r="Y35" s="32"/>
      <c r="Z35" s="32"/>
      <c r="AA35" s="32"/>
      <c r="AB35" s="32"/>
      <c r="AC35" s="32"/>
      <c r="AD35" s="32"/>
      <c r="AE35" s="32">
        <f>STDEV(AE27:AE30)</f>
        <v>2.9348821239063128</v>
      </c>
      <c r="AF35" s="30"/>
      <c r="AG35" s="30"/>
      <c r="AH35" s="30"/>
      <c r="AI35" s="30"/>
      <c r="AJ35" s="30"/>
      <c r="AK35" s="39"/>
      <c r="AL35" s="40"/>
      <c r="AM35" s="40">
        <f>STDEV(AM28:AM31)</f>
        <v>3.2348481202637149</v>
      </c>
      <c r="AN35" s="40"/>
      <c r="AO35" s="40"/>
      <c r="AP35" s="40"/>
      <c r="AQ35" s="40"/>
      <c r="AR35" s="40"/>
      <c r="AS35" s="40"/>
      <c r="AT35" s="39">
        <f>STDEV(AT28:AT31)</f>
        <v>3.2346496372693712</v>
      </c>
      <c r="AU35" s="41"/>
      <c r="AV35" s="41"/>
      <c r="AY35" s="66" t="s">
        <v>115</v>
      </c>
      <c r="AZ35" s="67"/>
      <c r="BA35" s="66"/>
      <c r="BB35" s="66"/>
      <c r="BC35" s="68"/>
      <c r="BD35" s="68" t="s">
        <v>16</v>
      </c>
      <c r="BE35" s="68" t="s">
        <v>116</v>
      </c>
      <c r="BF35" s="68" t="s">
        <v>17</v>
      </c>
      <c r="BG35" s="66" t="s">
        <v>18</v>
      </c>
      <c r="BH35" s="23" t="s">
        <v>107</v>
      </c>
      <c r="BI35" s="23" t="s">
        <v>108</v>
      </c>
    </row>
    <row r="36" spans="2:63" ht="15" x14ac:dyDescent="0.25">
      <c r="C36" s="80">
        <v>0.5</v>
      </c>
      <c r="D36" s="80"/>
      <c r="E36" s="81"/>
      <c r="F36" s="81"/>
      <c r="G36" s="81"/>
      <c r="H36" s="81"/>
      <c r="I36" s="81"/>
      <c r="J36" s="81"/>
      <c r="K36" s="81"/>
      <c r="L36" s="81"/>
      <c r="M36" s="81"/>
      <c r="N36" s="81"/>
      <c r="O36" s="81"/>
      <c r="P36" s="81"/>
      <c r="Q36" s="81"/>
      <c r="R36" s="81"/>
      <c r="S36" s="81"/>
      <c r="T36" s="81"/>
      <c r="U36" s="81"/>
      <c r="V36" s="81"/>
      <c r="W36" s="81"/>
      <c r="X36" s="81"/>
      <c r="Y36" s="81"/>
      <c r="Z36" s="81"/>
      <c r="AA36" s="81"/>
      <c r="AB36" s="81"/>
      <c r="AC36" s="81"/>
      <c r="AD36" s="81"/>
      <c r="AE36" s="81"/>
      <c r="AF36" s="81"/>
      <c r="AG36" s="81"/>
      <c r="AH36" s="81"/>
      <c r="AI36" s="81"/>
      <c r="AJ36" s="81"/>
      <c r="AK36" s="19"/>
      <c r="AL36" s="19"/>
      <c r="AM36" s="19"/>
      <c r="AN36" s="19"/>
      <c r="AO36" s="19"/>
      <c r="AP36" s="19"/>
      <c r="AQ36" s="19"/>
      <c r="AR36" s="19"/>
      <c r="AS36" s="19"/>
      <c r="AT36" s="19"/>
      <c r="AU36" s="19"/>
      <c r="AV36" s="19"/>
      <c r="AY36" s="65" t="s">
        <v>19</v>
      </c>
      <c r="AZ36" s="65"/>
      <c r="BA36" s="65"/>
      <c r="BB36" s="65" t="s">
        <v>20</v>
      </c>
      <c r="BC36" s="65" t="s">
        <v>21</v>
      </c>
      <c r="BD36" s="65" t="s">
        <v>22</v>
      </c>
      <c r="BE36" s="65"/>
      <c r="BF36" s="65"/>
      <c r="BG36" s="65"/>
      <c r="BH36" s="65"/>
      <c r="BI36" s="65"/>
    </row>
    <row r="37" spans="2:63" ht="15" x14ac:dyDescent="0.25">
      <c r="C37" s="82" t="s">
        <v>38</v>
      </c>
      <c r="D37" s="82"/>
      <c r="E37" s="82"/>
      <c r="F37" s="82"/>
      <c r="G37" s="45"/>
      <c r="H37" s="45"/>
      <c r="I37" s="45" t="s">
        <v>65</v>
      </c>
      <c r="J37" s="45"/>
      <c r="K37" s="45"/>
      <c r="L37" s="45"/>
      <c r="M37" s="45"/>
      <c r="N37" s="45"/>
      <c r="O37" s="45"/>
      <c r="P37" s="45"/>
      <c r="Q37" s="45"/>
      <c r="R37" s="82" t="s">
        <v>39</v>
      </c>
      <c r="S37" s="82"/>
      <c r="T37" s="82"/>
      <c r="U37" s="82"/>
      <c r="V37" s="45"/>
      <c r="W37" s="45"/>
      <c r="X37" s="45" t="s">
        <v>65</v>
      </c>
      <c r="Y37" s="45"/>
      <c r="Z37" s="45"/>
      <c r="AA37" s="45"/>
      <c r="AB37" s="45"/>
      <c r="AC37" s="45"/>
      <c r="AD37" s="45"/>
      <c r="AE37" s="45"/>
      <c r="AF37" s="45"/>
      <c r="AG37" s="82" t="s">
        <v>40</v>
      </c>
      <c r="AH37" s="82"/>
      <c r="AI37" s="82"/>
      <c r="AJ37" s="82"/>
      <c r="AK37" s="20"/>
      <c r="AL37" s="20"/>
      <c r="AM37" s="20" t="s">
        <v>65</v>
      </c>
      <c r="AN37" s="20"/>
      <c r="AO37" s="20"/>
      <c r="AP37" s="20"/>
      <c r="AQ37" s="20"/>
      <c r="AR37" s="20"/>
      <c r="AS37" s="20"/>
      <c r="AT37" s="20"/>
      <c r="AU37" s="20"/>
      <c r="AV37" s="20"/>
      <c r="AY37" s="69" t="s">
        <v>23</v>
      </c>
      <c r="AZ37" s="70">
        <f>AZ38*AZ39</f>
        <v>441</v>
      </c>
      <c r="BA37" s="70"/>
      <c r="BB37" s="65">
        <v>25</v>
      </c>
      <c r="BC37" s="72">
        <v>40</v>
      </c>
      <c r="BD37" s="71">
        <f>(AZ$38*(AZ$39-15))*AZ$44*BC37</f>
        <v>253338.03158548093</v>
      </c>
      <c r="BE37" s="71">
        <f>BD37/100^3</f>
        <v>0.25333803158548091</v>
      </c>
      <c r="BF37" s="71">
        <f>(BD37/(1000)^3)/AY$4*100</f>
        <v>1.0099006329912894</v>
      </c>
      <c r="BG37" s="71">
        <f>(AZ$38*BB37/100*AZ$40/1000)/(2*PI()*H$6/2000)*100</f>
        <v>7.8456662087554045</v>
      </c>
      <c r="BH37" s="65"/>
      <c r="BI37" s="65"/>
    </row>
    <row r="38" spans="2:63" ht="15" x14ac:dyDescent="0.25">
      <c r="B38" s="23" t="s">
        <v>50</v>
      </c>
      <c r="C38" s="3" t="s">
        <v>8</v>
      </c>
      <c r="D38" s="3" t="s">
        <v>48</v>
      </c>
      <c r="E38" s="4" t="s">
        <v>9</v>
      </c>
      <c r="F38" s="3" t="s">
        <v>49</v>
      </c>
      <c r="G38" s="3" t="s">
        <v>51</v>
      </c>
      <c r="H38" s="3" t="s">
        <v>52</v>
      </c>
      <c r="I38" s="3" t="s">
        <v>66</v>
      </c>
      <c r="J38" s="3" t="s">
        <v>56</v>
      </c>
      <c r="K38" s="3" t="s">
        <v>57</v>
      </c>
      <c r="L38" s="3" t="s">
        <v>58</v>
      </c>
      <c r="M38" s="3" t="s">
        <v>60</v>
      </c>
      <c r="N38" s="3" t="s">
        <v>59</v>
      </c>
      <c r="O38" s="3" t="s">
        <v>61</v>
      </c>
      <c r="P38" s="3" t="s">
        <v>62</v>
      </c>
      <c r="Q38" s="3" t="s">
        <v>50</v>
      </c>
      <c r="R38" s="3" t="s">
        <v>8</v>
      </c>
      <c r="S38" s="3" t="s">
        <v>48</v>
      </c>
      <c r="T38" s="4" t="s">
        <v>9</v>
      </c>
      <c r="U38" s="3" t="s">
        <v>49</v>
      </c>
      <c r="V38" s="3" t="s">
        <v>51</v>
      </c>
      <c r="W38" s="3" t="s">
        <v>52</v>
      </c>
      <c r="X38" s="3" t="s">
        <v>66</v>
      </c>
      <c r="Y38" s="3" t="s">
        <v>56</v>
      </c>
      <c r="Z38" s="3" t="s">
        <v>57</v>
      </c>
      <c r="AA38" s="3" t="s">
        <v>58</v>
      </c>
      <c r="AB38" s="3" t="s">
        <v>60</v>
      </c>
      <c r="AC38" s="3" t="s">
        <v>59</v>
      </c>
      <c r="AD38" s="3" t="s">
        <v>61</v>
      </c>
      <c r="AE38" s="3" t="s">
        <v>62</v>
      </c>
      <c r="AF38" s="3" t="s">
        <v>50</v>
      </c>
      <c r="AG38" s="3" t="s">
        <v>8</v>
      </c>
      <c r="AH38" s="3" t="s">
        <v>48</v>
      </c>
      <c r="AI38" s="4" t="s">
        <v>9</v>
      </c>
      <c r="AJ38" s="3" t="s">
        <v>49</v>
      </c>
      <c r="AK38" s="21" t="s">
        <v>51</v>
      </c>
      <c r="AL38" s="21" t="s">
        <v>52</v>
      </c>
      <c r="AM38" s="21" t="s">
        <v>66</v>
      </c>
      <c r="AN38" s="21" t="s">
        <v>56</v>
      </c>
      <c r="AO38" s="21" t="s">
        <v>57</v>
      </c>
      <c r="AP38" s="21" t="s">
        <v>58</v>
      </c>
      <c r="AQ38" s="21" t="s">
        <v>60</v>
      </c>
      <c r="AR38" s="21" t="s">
        <v>59</v>
      </c>
      <c r="AS38" s="21" t="s">
        <v>61</v>
      </c>
      <c r="AT38" s="21" t="s">
        <v>62</v>
      </c>
      <c r="AU38" s="21"/>
      <c r="AV38" s="21"/>
      <c r="AY38" s="69" t="s">
        <v>24</v>
      </c>
      <c r="AZ38" s="70">
        <v>21</v>
      </c>
      <c r="BA38" s="70"/>
      <c r="BB38" s="65">
        <v>25</v>
      </c>
      <c r="BC38" s="72">
        <v>30</v>
      </c>
      <c r="BD38" s="71">
        <f t="shared" ref="BD38:BD39" si="82">(AZ$38*(AZ$39-15))*AZ$44*BC38</f>
        <v>190003.52368911071</v>
      </c>
      <c r="BE38" s="71">
        <f t="shared" ref="BE38:BE48" si="83">BD38/100^3</f>
        <v>0.19000352368911069</v>
      </c>
      <c r="BF38" s="71">
        <f t="shared" ref="BF38:BF48" si="84">(BD38/(1000)^3)/AY$4*100</f>
        <v>0.75742547474346711</v>
      </c>
      <c r="BG38" s="71">
        <f t="shared" ref="BG38:BG48" si="85">(AZ$38*BB38/100*AZ$40/1000)/(2*PI()*H$6/2000)*100</f>
        <v>7.8456662087554045</v>
      </c>
      <c r="BH38" s="65"/>
      <c r="BI38" s="65"/>
    </row>
    <row r="39" spans="2:63" ht="15" x14ac:dyDescent="0.25">
      <c r="B39" s="25">
        <f t="shared" ref="B39:B58" si="86">(C39/3600)/(PI()*(H$5/1000/2)^2)</f>
        <v>0</v>
      </c>
      <c r="C39" s="47"/>
      <c r="D39" s="5"/>
      <c r="E39" s="47"/>
      <c r="F39" s="16"/>
      <c r="G39" s="26">
        <f>B39*$H$5/1000/$BD$2</f>
        <v>0</v>
      </c>
      <c r="H39" s="16" t="e">
        <f>(E39/$BA$2*($H$5/1000)*2*$BA$2)/((B39^2)*$AZ$2)</f>
        <v>#DIV/0!</v>
      </c>
      <c r="I39" s="16" t="e">
        <f t="shared" ref="I39:I53" si="87">((3.7^2)/(10^(1/(H39^0.5))))^0.5*$H$5</f>
        <v>#DIV/0!</v>
      </c>
      <c r="J39" s="16" t="e">
        <f>H39^0.5</f>
        <v>#DIV/0!</v>
      </c>
      <c r="K39" s="16" t="e">
        <f>1/J39</f>
        <v>#DIV/0!</v>
      </c>
      <c r="L39" s="16" t="e">
        <f>10^K39</f>
        <v>#DIV/0!</v>
      </c>
      <c r="M39" s="16" t="e">
        <f>1/L39</f>
        <v>#DIV/0!</v>
      </c>
      <c r="N39" s="16" t="e">
        <f>M39^0.5</f>
        <v>#DIV/0!</v>
      </c>
      <c r="O39" s="16" t="e">
        <f>N39-(2.51/(G39*J39))</f>
        <v>#DIV/0!</v>
      </c>
      <c r="P39" s="16" t="e">
        <f t="shared" ref="P39:P41" si="88">O39*3.7*$H$5</f>
        <v>#DIV/0!</v>
      </c>
      <c r="Q39" s="16">
        <f t="shared" ref="Q39:Q47" si="89">(R39/3600)/(PI()*($H$5/1000/2)^2)</f>
        <v>0.39275745335355045</v>
      </c>
      <c r="R39" s="47">
        <v>90.2</v>
      </c>
      <c r="S39" s="5"/>
      <c r="T39" s="47">
        <v>1.59</v>
      </c>
      <c r="U39" s="16"/>
      <c r="V39" s="26">
        <f>Q39*$H$5/1000/$BD$2</f>
        <v>111601.07099278353</v>
      </c>
      <c r="W39" s="16">
        <f>(T39/$BA$2*($H$5/1000)*2*$BA$2)/((Q39^2)*$AZ$2)</f>
        <v>5.3410964928355114</v>
      </c>
      <c r="X39" s="16">
        <f t="shared" ref="X39:X56" si="90">((3.7^2)/(10^(1/(W39^0.5))))^0.5*$H$5</f>
        <v>640.76330654505057</v>
      </c>
      <c r="Y39" s="16">
        <f>W39^0.5</f>
        <v>2.3110812389086437</v>
      </c>
      <c r="Z39" s="16">
        <f>1/Y39</f>
        <v>0.43269790051700113</v>
      </c>
      <c r="AA39" s="16">
        <f>10^Z39</f>
        <v>2.7083070516657459</v>
      </c>
      <c r="AB39" s="16">
        <f>1/AA39</f>
        <v>0.36923435228104928</v>
      </c>
      <c r="AC39" s="16">
        <f>AB39^0.5</f>
        <v>0.60764656855860655</v>
      </c>
      <c r="AD39" s="16">
        <f>AC39-(2.51/(V39*Y39))</f>
        <v>0.60763683682645886</v>
      </c>
      <c r="AE39" s="16">
        <f t="shared" ref="AE39:AE56" si="91">AD39*3.7*$H$5</f>
        <v>640.75304443350092</v>
      </c>
      <c r="AF39" s="16">
        <f t="shared" ref="AF39:AF57" si="92">(AG39/3600)/(PI()*($H$5/1000/2)^2)</f>
        <v>0.40930377622210362</v>
      </c>
      <c r="AG39" s="47">
        <v>94</v>
      </c>
      <c r="AH39" s="5"/>
      <c r="AI39" s="47">
        <v>2.14</v>
      </c>
      <c r="AJ39" s="16"/>
      <c r="AK39" s="29">
        <f>AF39*$H$5/1000/$BD$2</f>
        <v>116302.66821864359</v>
      </c>
      <c r="AL39" s="22">
        <f>(AI39/$BA$2*($H$5/1000)*2*$BA$2)/((AF39^2)*$AZ$2)</f>
        <v>6.6191838048519749</v>
      </c>
      <c r="AM39" s="22">
        <f t="shared" ref="AM39:AM57" si="93">((3.7^2)/(10^(1/(AL39^0.5))))^0.5*$H$5</f>
        <v>674.06858090086462</v>
      </c>
      <c r="AN39" s="22">
        <f>AL39^0.5</f>
        <v>2.5727774495381395</v>
      </c>
      <c r="AO39" s="22">
        <f>1/AN39</f>
        <v>0.38868499884415508</v>
      </c>
      <c r="AP39" s="22">
        <f>10^AO39</f>
        <v>2.4472875387769317</v>
      </c>
      <c r="AQ39" s="22">
        <f>1/AP39</f>
        <v>0.40861565474229677</v>
      </c>
      <c r="AR39" s="22">
        <f>AQ39^0.5</f>
        <v>0.63923051768692707</v>
      </c>
      <c r="AS39" s="22">
        <f>AR39-(2.51/(AK39*AN39))</f>
        <v>0.63922212923495048</v>
      </c>
      <c r="AT39" s="22">
        <f t="shared" ref="AT39:AT57" si="94">AS39*3.7*$H$5</f>
        <v>674.0597352782554</v>
      </c>
      <c r="AU39" s="22"/>
      <c r="AV39" s="22"/>
      <c r="AY39" s="69" t="s">
        <v>28</v>
      </c>
      <c r="AZ39" s="70">
        <v>21</v>
      </c>
      <c r="BA39" s="70">
        <f>AZ39*AZ38</f>
        <v>441</v>
      </c>
      <c r="BB39" s="65">
        <v>25</v>
      </c>
      <c r="BC39" s="72">
        <v>20</v>
      </c>
      <c r="BD39" s="71">
        <f t="shared" si="82"/>
        <v>126669.01579274047</v>
      </c>
      <c r="BE39" s="71">
        <f t="shared" si="83"/>
        <v>0.12666901579274045</v>
      </c>
      <c r="BF39" s="71">
        <f t="shared" si="84"/>
        <v>0.5049503164956447</v>
      </c>
      <c r="BG39" s="71">
        <f t="shared" si="85"/>
        <v>7.8456662087554045</v>
      </c>
      <c r="BH39" s="65"/>
      <c r="BI39" s="65"/>
    </row>
    <row r="40" spans="2:63" ht="15" x14ac:dyDescent="0.25">
      <c r="B40" s="25">
        <f t="shared" si="86"/>
        <v>0</v>
      </c>
      <c r="C40" s="47"/>
      <c r="D40" s="5"/>
      <c r="E40" s="47"/>
      <c r="F40" s="16"/>
      <c r="G40" s="26">
        <f t="shared" ref="G40:G53" si="95">B40*$H$5/1000/$BD$2</f>
        <v>0</v>
      </c>
      <c r="H40" s="16" t="e">
        <f t="shared" ref="H40:H53" si="96">(E40/$BA$2*($H$5/1000)*2*$BA$2)/((B40^2)*$AZ$2)</f>
        <v>#DIV/0!</v>
      </c>
      <c r="I40" s="16" t="e">
        <f t="shared" si="87"/>
        <v>#DIV/0!</v>
      </c>
      <c r="J40" s="16" t="e">
        <f t="shared" ref="J40:J41" si="97">H40^0.5</f>
        <v>#DIV/0!</v>
      </c>
      <c r="K40" s="16" t="e">
        <f t="shared" ref="K40:K41" si="98">1/J40</f>
        <v>#DIV/0!</v>
      </c>
      <c r="L40" s="16" t="e">
        <f t="shared" ref="L40:L41" si="99">10^K40</f>
        <v>#DIV/0!</v>
      </c>
      <c r="M40" s="16" t="e">
        <f t="shared" ref="M40:M41" si="100">1/L40</f>
        <v>#DIV/0!</v>
      </c>
      <c r="N40" s="16" t="e">
        <f t="shared" ref="N40:N41" si="101">M40^0.5</f>
        <v>#DIV/0!</v>
      </c>
      <c r="O40" s="16" t="e">
        <f t="shared" ref="O40:O41" si="102">N40-(2.51/(G40*J40))</f>
        <v>#DIV/0!</v>
      </c>
      <c r="P40" s="16" t="e">
        <f t="shared" si="88"/>
        <v>#DIV/0!</v>
      </c>
      <c r="Q40" s="16">
        <f t="shared" si="89"/>
        <v>0.39188659425520556</v>
      </c>
      <c r="R40" s="47">
        <v>90</v>
      </c>
      <c r="S40" s="5"/>
      <c r="T40" s="47">
        <v>1.59</v>
      </c>
      <c r="U40" s="16"/>
      <c r="V40" s="26">
        <f t="shared" ref="V40:V56" si="103">Q40*$H$5/1000/$BD$2</f>
        <v>111353.61850721196</v>
      </c>
      <c r="W40" s="16">
        <f t="shared" ref="W40:W56" si="104">(T40/$BA$2*($H$5/1000)*2*$BA$2)/((Q40^2)*$AZ$2)</f>
        <v>5.3648610752554848</v>
      </c>
      <c r="X40" s="16">
        <f t="shared" si="90"/>
        <v>641.47146663879619</v>
      </c>
      <c r="Y40" s="16">
        <f t="shared" ref="Y40:Y56" si="105">W40^0.5</f>
        <v>2.3162169749951071</v>
      </c>
      <c r="Z40" s="16">
        <f t="shared" ref="Z40:Z56" si="106">1/Y40</f>
        <v>0.43173848166884815</v>
      </c>
      <c r="AA40" s="16">
        <f t="shared" ref="AA40:AA56" si="107">10^Z40</f>
        <v>2.7023306164766279</v>
      </c>
      <c r="AB40" s="16">
        <f t="shared" ref="AB40:AB56" si="108">1/AA40</f>
        <v>0.3700509456181299</v>
      </c>
      <c r="AC40" s="16">
        <f t="shared" ref="AC40:AC56" si="109">AB40^0.5</f>
        <v>0.60831812862854084</v>
      </c>
      <c r="AD40" s="16">
        <f t="shared" ref="AD40:AD56" si="110">AC40-(2.51/(V40*Y40))</f>
        <v>0.60830839689639316</v>
      </c>
      <c r="AE40" s="16">
        <f t="shared" si="91"/>
        <v>641.46120452724654</v>
      </c>
      <c r="AF40" s="16">
        <f t="shared" si="92"/>
        <v>0.41365807171382807</v>
      </c>
      <c r="AG40" s="47">
        <v>95</v>
      </c>
      <c r="AH40" s="5"/>
      <c r="AI40" s="47">
        <v>2.15</v>
      </c>
      <c r="AJ40" s="16"/>
      <c r="AK40" s="29">
        <f t="shared" ref="AK40:AK57" si="111">AF40*$H$5/1000/$BD$2</f>
        <v>117539.93064650151</v>
      </c>
      <c r="AL40" s="22">
        <f t="shared" ref="AL40:AL57" si="112">(AI40/$BA$2*($H$5/1000)*2*$BA$2)/((AF40^2)*$AZ$2)</f>
        <v>6.510849013089028</v>
      </c>
      <c r="AM40" s="22">
        <f t="shared" si="93"/>
        <v>671.57405709942702</v>
      </c>
      <c r="AN40" s="22">
        <f t="shared" ref="AN40:AN57" si="113">AL40^0.5</f>
        <v>2.5516365362427753</v>
      </c>
      <c r="AO40" s="22">
        <f t="shared" ref="AO40:AO57" si="114">1/AN40</f>
        <v>0.39190534615579553</v>
      </c>
      <c r="AP40" s="22">
        <f t="shared" ref="AP40:AP57" si="115">10^AO40</f>
        <v>2.4655019261503455</v>
      </c>
      <c r="AQ40" s="22">
        <f t="shared" ref="AQ40:AQ57" si="116">1/AP40</f>
        <v>0.40559692506969891</v>
      </c>
      <c r="AR40" s="22">
        <f t="shared" ref="AR40:AR57" si="117">AQ40^0.5</f>
        <v>0.63686491901320719</v>
      </c>
      <c r="AS40" s="22">
        <f t="shared" ref="AS40:AS57" si="118">AR40-(2.51/(AK40*AN40))</f>
        <v>0.63685655009199515</v>
      </c>
      <c r="AT40" s="22">
        <f t="shared" si="94"/>
        <v>671.56523207200894</v>
      </c>
      <c r="AU40" s="22"/>
      <c r="AV40" s="22">
        <v>180.14410000000001</v>
      </c>
      <c r="AX40" s="1">
        <v>2.3226309999999999</v>
      </c>
      <c r="AY40" s="69" t="s">
        <v>29</v>
      </c>
      <c r="AZ40" s="70">
        <v>8</v>
      </c>
      <c r="BA40" s="70" t="s">
        <v>30</v>
      </c>
      <c r="BB40" s="65">
        <v>50</v>
      </c>
      <c r="BC40" s="72">
        <v>40</v>
      </c>
      <c r="BD40" s="71">
        <f>(AZ$38*(AZ$27-10))*AZ$32*BC40</f>
        <v>464453.05790671502</v>
      </c>
      <c r="BE40" s="71">
        <f t="shared" si="83"/>
        <v>0.46445305790671504</v>
      </c>
      <c r="BF40" s="71">
        <f t="shared" si="84"/>
        <v>1.8514844938173638</v>
      </c>
      <c r="BG40" s="71">
        <f t="shared" si="85"/>
        <v>15.691332417510809</v>
      </c>
      <c r="BH40" s="71">
        <v>22.962674999999997</v>
      </c>
      <c r="BI40" s="71">
        <v>0.66036399747916807</v>
      </c>
      <c r="BJ40" s="1" t="s">
        <v>111</v>
      </c>
    </row>
    <row r="41" spans="2:63" ht="15" x14ac:dyDescent="0.25">
      <c r="B41" s="25">
        <f t="shared" si="86"/>
        <v>0</v>
      </c>
      <c r="C41" s="47"/>
      <c r="D41" s="5"/>
      <c r="E41" s="47"/>
      <c r="F41" s="16"/>
      <c r="G41" s="26">
        <f t="shared" si="95"/>
        <v>0</v>
      </c>
      <c r="H41" s="16" t="e">
        <f t="shared" si="96"/>
        <v>#DIV/0!</v>
      </c>
      <c r="I41" s="16" t="e">
        <f t="shared" si="87"/>
        <v>#DIV/0!</v>
      </c>
      <c r="J41" s="16" t="e">
        <f t="shared" si="97"/>
        <v>#DIV/0!</v>
      </c>
      <c r="K41" s="16" t="e">
        <f t="shared" si="98"/>
        <v>#DIV/0!</v>
      </c>
      <c r="L41" s="16" t="e">
        <f t="shared" si="99"/>
        <v>#DIV/0!</v>
      </c>
      <c r="M41" s="16" t="e">
        <f t="shared" si="100"/>
        <v>#DIV/0!</v>
      </c>
      <c r="N41" s="16" t="e">
        <f t="shared" si="101"/>
        <v>#DIV/0!</v>
      </c>
      <c r="O41" s="16" t="e">
        <f t="shared" si="102"/>
        <v>#DIV/0!</v>
      </c>
      <c r="P41" s="16" t="e">
        <f t="shared" si="88"/>
        <v>#DIV/0!</v>
      </c>
      <c r="Q41" s="16">
        <f t="shared" si="89"/>
        <v>0.77158116113358233</v>
      </c>
      <c r="R41" s="47">
        <v>177.2</v>
      </c>
      <c r="S41" s="5"/>
      <c r="T41" s="47">
        <v>2.16</v>
      </c>
      <c r="U41" s="16"/>
      <c r="V41" s="26">
        <f t="shared" si="103"/>
        <v>219242.9022164217</v>
      </c>
      <c r="W41" s="16">
        <f t="shared" si="104"/>
        <v>1.8800642483077914</v>
      </c>
      <c r="X41" s="16">
        <f t="shared" si="90"/>
        <v>455.39717927679442</v>
      </c>
      <c r="Y41" s="16">
        <f t="shared" si="105"/>
        <v>1.3711543488272178</v>
      </c>
      <c r="Z41" s="16">
        <f t="shared" si="106"/>
        <v>0.72931249560293832</v>
      </c>
      <c r="AA41" s="16">
        <f t="shared" si="107"/>
        <v>5.3618232751234949</v>
      </c>
      <c r="AB41" s="16">
        <f t="shared" si="108"/>
        <v>0.18650372246313315</v>
      </c>
      <c r="AC41" s="16">
        <f t="shared" si="109"/>
        <v>0.4318607674507296</v>
      </c>
      <c r="AD41" s="16">
        <f t="shared" si="110"/>
        <v>0.4318524179244943</v>
      </c>
      <c r="AE41" s="16">
        <f t="shared" si="91"/>
        <v>455.38837470137923</v>
      </c>
      <c r="AF41" s="16">
        <f t="shared" si="92"/>
        <v>0.78440064249076868</v>
      </c>
      <c r="AG41" s="47">
        <v>180.14410000000001</v>
      </c>
      <c r="AH41" s="5"/>
      <c r="AI41" s="47">
        <v>2.3226309999999999</v>
      </c>
      <c r="AJ41" s="16"/>
      <c r="AK41" s="29">
        <f t="shared" si="111"/>
        <v>222885.52653027824</v>
      </c>
      <c r="AL41" s="22">
        <f t="shared" si="112"/>
        <v>1.9560795255941796</v>
      </c>
      <c r="AM41" s="22">
        <f t="shared" si="93"/>
        <v>462.96270207334874</v>
      </c>
      <c r="AN41" s="22">
        <f t="shared" si="113"/>
        <v>1.3985991296987781</v>
      </c>
      <c r="AO41" s="22">
        <f t="shared" si="114"/>
        <v>0.71500115992162383</v>
      </c>
      <c r="AP41" s="22">
        <f t="shared" si="115"/>
        <v>5.1880142455141849</v>
      </c>
      <c r="AQ41" s="22">
        <f t="shared" si="116"/>
        <v>0.19275197651291143</v>
      </c>
      <c r="AR41" s="22">
        <f t="shared" si="117"/>
        <v>0.43903527934883713</v>
      </c>
      <c r="AS41" s="22">
        <f t="shared" si="118"/>
        <v>0.4390272274446182</v>
      </c>
      <c r="AT41" s="22">
        <f t="shared" si="94"/>
        <v>462.9542113403499</v>
      </c>
      <c r="AU41" s="22"/>
      <c r="AV41" s="22">
        <v>271.75560000000002</v>
      </c>
      <c r="AX41" s="1">
        <v>2.5170360000000001</v>
      </c>
      <c r="AY41" s="69" t="s">
        <v>31</v>
      </c>
      <c r="AZ41" s="70">
        <v>226.2</v>
      </c>
      <c r="BA41" s="70" t="s">
        <v>30</v>
      </c>
      <c r="BB41" s="65">
        <v>50</v>
      </c>
      <c r="BC41" s="72">
        <v>30</v>
      </c>
      <c r="BD41" s="71">
        <f t="shared" ref="BD41:BD42" si="119">(AZ$38*(AZ$27-10))*AZ$32*BC41</f>
        <v>348339.79343003628</v>
      </c>
      <c r="BE41" s="71">
        <f t="shared" si="83"/>
        <v>0.34833979343003629</v>
      </c>
      <c r="BF41" s="71">
        <f t="shared" si="84"/>
        <v>1.3886133703630228</v>
      </c>
      <c r="BG41" s="71">
        <f t="shared" si="85"/>
        <v>15.691332417510809</v>
      </c>
      <c r="BH41" s="71">
        <v>8.7780262500000017</v>
      </c>
      <c r="BI41" s="71">
        <v>0.28931161381732245</v>
      </c>
      <c r="BJ41" s="1" t="s">
        <v>112</v>
      </c>
    </row>
    <row r="42" spans="2:63" ht="15" x14ac:dyDescent="0.25">
      <c r="B42" s="25">
        <f t="shared" si="86"/>
        <v>0</v>
      </c>
      <c r="C42" s="47"/>
      <c r="D42" s="5"/>
      <c r="E42" s="47"/>
      <c r="F42" s="16"/>
      <c r="G42" s="26">
        <f t="shared" si="95"/>
        <v>0</v>
      </c>
      <c r="H42" s="16" t="e">
        <f t="shared" si="96"/>
        <v>#DIV/0!</v>
      </c>
      <c r="I42" s="16" t="e">
        <f t="shared" si="87"/>
        <v>#DIV/0!</v>
      </c>
      <c r="J42" s="16" t="e">
        <f t="shared" ref="J42:J48" si="120">H42^0.5</f>
        <v>#DIV/0!</v>
      </c>
      <c r="K42" s="16" t="e">
        <f t="shared" ref="K42:K48" si="121">1/J42</f>
        <v>#DIV/0!</v>
      </c>
      <c r="L42" s="16" t="e">
        <f t="shared" ref="L42:L48" si="122">10^K42</f>
        <v>#DIV/0!</v>
      </c>
      <c r="M42" s="16" t="e">
        <f t="shared" ref="M42:M48" si="123">1/L42</f>
        <v>#DIV/0!</v>
      </c>
      <c r="N42" s="16" t="e">
        <f t="shared" ref="N42:N48" si="124">M42^0.5</f>
        <v>#DIV/0!</v>
      </c>
      <c r="O42" s="16" t="e">
        <f t="shared" ref="O42:O48" si="125">N42-(2.51/(G42*J42))</f>
        <v>#DIV/0!</v>
      </c>
      <c r="P42" s="16" t="e">
        <f t="shared" ref="P42:P48" si="126">O42*3.7*$H$5</f>
        <v>#DIV/0!</v>
      </c>
      <c r="Q42" s="16">
        <f t="shared" si="89"/>
        <v>1.5283577175953016</v>
      </c>
      <c r="R42" s="47">
        <v>351</v>
      </c>
      <c r="S42" s="5"/>
      <c r="T42" s="47">
        <v>2.4900000000000002</v>
      </c>
      <c r="U42" s="16"/>
      <c r="V42" s="26">
        <f t="shared" si="103"/>
        <v>434279.11217812658</v>
      </c>
      <c r="W42" s="16">
        <f t="shared" si="104"/>
        <v>0.552371787734243</v>
      </c>
      <c r="X42" s="16">
        <f t="shared" si="90"/>
        <v>224.02460838268118</v>
      </c>
      <c r="Y42" s="16">
        <f t="shared" si="105"/>
        <v>0.74321718745884979</v>
      </c>
      <c r="Z42" s="16">
        <f t="shared" si="106"/>
        <v>1.3455017145380099</v>
      </c>
      <c r="AA42" s="16">
        <f t="shared" si="107"/>
        <v>22.156528434042386</v>
      </c>
      <c r="AB42" s="16">
        <f t="shared" si="108"/>
        <v>4.5133424352867053E-2</v>
      </c>
      <c r="AC42" s="16">
        <f t="shared" si="109"/>
        <v>0.21244628580624103</v>
      </c>
      <c r="AD42" s="16">
        <f t="shared" si="110"/>
        <v>0.21243850921922869</v>
      </c>
      <c r="AE42" s="16">
        <f t="shared" si="91"/>
        <v>224.01640797167667</v>
      </c>
      <c r="AF42" s="16">
        <f t="shared" si="92"/>
        <v>0.78440064249076868</v>
      </c>
      <c r="AG42" s="47">
        <v>180.14410000000001</v>
      </c>
      <c r="AH42" s="5"/>
      <c r="AI42" s="47">
        <v>2.3226309999999999</v>
      </c>
      <c r="AJ42" s="16"/>
      <c r="AK42" s="29">
        <f t="shared" si="111"/>
        <v>222885.52653027824</v>
      </c>
      <c r="AL42" s="22">
        <f t="shared" si="112"/>
        <v>1.9560795255941796</v>
      </c>
      <c r="AM42" s="22">
        <f t="shared" si="93"/>
        <v>462.96270207334874</v>
      </c>
      <c r="AN42" s="22">
        <f t="shared" si="113"/>
        <v>1.3985991296987781</v>
      </c>
      <c r="AO42" s="22">
        <f t="shared" si="114"/>
        <v>0.71500115992162383</v>
      </c>
      <c r="AP42" s="22">
        <f t="shared" si="115"/>
        <v>5.1880142455141849</v>
      </c>
      <c r="AQ42" s="22">
        <f t="shared" si="116"/>
        <v>0.19275197651291143</v>
      </c>
      <c r="AR42" s="22">
        <f t="shared" si="117"/>
        <v>0.43903527934883713</v>
      </c>
      <c r="AS42" s="22">
        <f t="shared" si="118"/>
        <v>0.4390272274446182</v>
      </c>
      <c r="AT42" s="22">
        <f t="shared" si="94"/>
        <v>462.9542113403499</v>
      </c>
      <c r="AU42" s="22"/>
      <c r="AV42" s="22">
        <v>358.75110000000001</v>
      </c>
      <c r="AX42" s="1">
        <v>2.7945060000000002</v>
      </c>
      <c r="AY42" s="69" t="s">
        <v>119</v>
      </c>
      <c r="AZ42" s="70">
        <f>2*PI()*AZ41/2</f>
        <v>710.62825824201116</v>
      </c>
      <c r="BA42" s="70" t="s">
        <v>30</v>
      </c>
      <c r="BB42" s="65">
        <v>50</v>
      </c>
      <c r="BC42" s="72">
        <v>20</v>
      </c>
      <c r="BD42" s="71">
        <f t="shared" si="119"/>
        <v>232226.52895335751</v>
      </c>
      <c r="BE42" s="71">
        <f t="shared" si="83"/>
        <v>0.23222652895335752</v>
      </c>
      <c r="BF42" s="71">
        <f t="shared" si="84"/>
        <v>0.9257422469086819</v>
      </c>
      <c r="BG42" s="71">
        <f t="shared" si="85"/>
        <v>15.691332417510809</v>
      </c>
      <c r="BH42" s="71">
        <v>0.57872250000000003</v>
      </c>
      <c r="BI42" s="71">
        <v>0.36826772474881192</v>
      </c>
      <c r="BJ42" s="1" t="s">
        <v>113</v>
      </c>
    </row>
    <row r="43" spans="2:63" ht="15" x14ac:dyDescent="0.25">
      <c r="B43" s="25">
        <f t="shared" si="86"/>
        <v>0</v>
      </c>
      <c r="C43" s="47"/>
      <c r="D43" s="5"/>
      <c r="E43" s="47"/>
      <c r="F43" s="16"/>
      <c r="G43" s="26">
        <f t="shared" si="95"/>
        <v>0</v>
      </c>
      <c r="H43" s="16" t="e">
        <f t="shared" si="96"/>
        <v>#DIV/0!</v>
      </c>
      <c r="I43" s="16" t="e">
        <f t="shared" si="87"/>
        <v>#DIV/0!</v>
      </c>
      <c r="J43" s="16" t="e">
        <f t="shared" si="120"/>
        <v>#DIV/0!</v>
      </c>
      <c r="K43" s="16" t="e">
        <f t="shared" si="121"/>
        <v>#DIV/0!</v>
      </c>
      <c r="L43" s="16" t="e">
        <f t="shared" si="122"/>
        <v>#DIV/0!</v>
      </c>
      <c r="M43" s="16" t="e">
        <f t="shared" si="123"/>
        <v>#DIV/0!</v>
      </c>
      <c r="N43" s="16" t="e">
        <f t="shared" si="124"/>
        <v>#DIV/0!</v>
      </c>
      <c r="O43" s="16" t="e">
        <f t="shared" si="125"/>
        <v>#DIV/0!</v>
      </c>
      <c r="P43" s="16" t="e">
        <f t="shared" si="126"/>
        <v>#DIV/0!</v>
      </c>
      <c r="Q43" s="16">
        <f t="shared" si="89"/>
        <v>1.5283577175953016</v>
      </c>
      <c r="R43" s="47">
        <v>351</v>
      </c>
      <c r="S43" s="5"/>
      <c r="T43" s="47">
        <v>2.4900000000000002</v>
      </c>
      <c r="U43" s="16"/>
      <c r="V43" s="26">
        <f t="shared" si="103"/>
        <v>434279.11217812658</v>
      </c>
      <c r="W43" s="16">
        <f t="shared" si="104"/>
        <v>0.552371787734243</v>
      </c>
      <c r="X43" s="16">
        <f t="shared" si="90"/>
        <v>224.02460838268118</v>
      </c>
      <c r="Y43" s="16">
        <f t="shared" si="105"/>
        <v>0.74321718745884979</v>
      </c>
      <c r="Z43" s="16">
        <f t="shared" si="106"/>
        <v>1.3455017145380099</v>
      </c>
      <c r="AA43" s="16">
        <f t="shared" si="107"/>
        <v>22.156528434042386</v>
      </c>
      <c r="AB43" s="16">
        <f t="shared" si="108"/>
        <v>4.5133424352867053E-2</v>
      </c>
      <c r="AC43" s="16">
        <f t="shared" si="109"/>
        <v>0.21244628580624103</v>
      </c>
      <c r="AD43" s="16">
        <f t="shared" si="110"/>
        <v>0.21243850921922869</v>
      </c>
      <c r="AE43" s="16">
        <f t="shared" si="91"/>
        <v>224.01640797167667</v>
      </c>
      <c r="AF43" s="16">
        <f t="shared" si="92"/>
        <v>1.1833041839308882</v>
      </c>
      <c r="AG43" s="47">
        <v>271.75560000000002</v>
      </c>
      <c r="AH43" s="5"/>
      <c r="AI43" s="47">
        <v>2.5170360000000001</v>
      </c>
      <c r="AJ43" s="5"/>
      <c r="AK43" s="29">
        <f t="shared" si="111"/>
        <v>336232.99343998323</v>
      </c>
      <c r="AL43" s="22">
        <f t="shared" si="112"/>
        <v>0.93149128803696613</v>
      </c>
      <c r="AM43" s="22">
        <f t="shared" si="93"/>
        <v>319.87915098841256</v>
      </c>
      <c r="AN43" s="22">
        <f t="shared" si="113"/>
        <v>0.96513796321405065</v>
      </c>
      <c r="AO43" s="22">
        <f t="shared" si="114"/>
        <v>1.0361212988346802</v>
      </c>
      <c r="AP43" s="22">
        <f t="shared" si="115"/>
        <v>10.867291056384923</v>
      </c>
      <c r="AQ43" s="22">
        <f t="shared" si="116"/>
        <v>9.2019252526825829E-2</v>
      </c>
      <c r="AR43" s="22">
        <f t="shared" si="117"/>
        <v>0.30334675295250124</v>
      </c>
      <c r="AS43" s="22">
        <f t="shared" si="118"/>
        <v>0.30333901824320497</v>
      </c>
      <c r="AT43" s="22">
        <f t="shared" si="94"/>
        <v>319.87099473745963</v>
      </c>
      <c r="AU43" s="14"/>
      <c r="AV43" s="14">
        <v>541.64859999999999</v>
      </c>
      <c r="AX43" s="1">
        <v>3.6102430000000001</v>
      </c>
      <c r="AY43" s="69" t="s">
        <v>33</v>
      </c>
      <c r="AZ43" s="70">
        <f>AZ42/AZ38</f>
        <v>33.839440868667197</v>
      </c>
      <c r="BA43" s="70" t="s">
        <v>30</v>
      </c>
      <c r="BB43" s="65">
        <v>75</v>
      </c>
      <c r="BC43" s="72">
        <v>40</v>
      </c>
      <c r="BD43" s="71">
        <f>(AZ$38*(AZ$27-5))*AZ$32*BC43</f>
        <v>675568.08422794915</v>
      </c>
      <c r="BE43" s="71">
        <f t="shared" si="83"/>
        <v>0.67556808422794912</v>
      </c>
      <c r="BF43" s="71">
        <f t="shared" si="84"/>
        <v>2.6930683546434384</v>
      </c>
      <c r="BG43" s="71">
        <f t="shared" si="85"/>
        <v>23.536998626266211</v>
      </c>
      <c r="BH43" s="71"/>
      <c r="BI43" s="71"/>
    </row>
    <row r="44" spans="2:63" ht="15" x14ac:dyDescent="0.25">
      <c r="B44" s="25">
        <f t="shared" si="86"/>
        <v>0</v>
      </c>
      <c r="C44" s="47"/>
      <c r="D44" s="5"/>
      <c r="E44" s="47"/>
      <c r="F44" s="16"/>
      <c r="G44" s="26">
        <f t="shared" si="95"/>
        <v>0</v>
      </c>
      <c r="H44" s="16" t="e">
        <f t="shared" si="96"/>
        <v>#DIV/0!</v>
      </c>
      <c r="I44" s="16" t="e">
        <f t="shared" si="87"/>
        <v>#DIV/0!</v>
      </c>
      <c r="J44" s="16" t="e">
        <f t="shared" si="120"/>
        <v>#DIV/0!</v>
      </c>
      <c r="K44" s="16" t="e">
        <f t="shared" si="121"/>
        <v>#DIV/0!</v>
      </c>
      <c r="L44" s="16" t="e">
        <f t="shared" si="122"/>
        <v>#DIV/0!</v>
      </c>
      <c r="M44" s="16" t="e">
        <f t="shared" si="123"/>
        <v>#DIV/0!</v>
      </c>
      <c r="N44" s="16" t="e">
        <f t="shared" si="124"/>
        <v>#DIV/0!</v>
      </c>
      <c r="O44" s="16" t="e">
        <f t="shared" si="125"/>
        <v>#DIV/0!</v>
      </c>
      <c r="P44" s="16" t="e">
        <f t="shared" si="126"/>
        <v>#DIV/0!</v>
      </c>
      <c r="Q44" s="16">
        <f t="shared" si="89"/>
        <v>3.0305896622402564</v>
      </c>
      <c r="R44" s="47">
        <v>696</v>
      </c>
      <c r="S44" s="5"/>
      <c r="T44" s="47">
        <v>3.51</v>
      </c>
      <c r="U44" s="16"/>
      <c r="V44" s="26">
        <f t="shared" si="103"/>
        <v>861134.64978910575</v>
      </c>
      <c r="W44" s="16">
        <f t="shared" si="104"/>
        <v>0.1980318351441745</v>
      </c>
      <c r="X44" s="16">
        <f t="shared" si="90"/>
        <v>79.336030884040426</v>
      </c>
      <c r="Y44" s="16">
        <f t="shared" si="105"/>
        <v>0.44500767987100459</v>
      </c>
      <c r="Z44" s="16">
        <f t="shared" si="106"/>
        <v>2.2471522295747173</v>
      </c>
      <c r="AA44" s="16">
        <f t="shared" si="107"/>
        <v>176.66569635045823</v>
      </c>
      <c r="AB44" s="16">
        <f t="shared" si="108"/>
        <v>5.6604084474682808E-3</v>
      </c>
      <c r="AC44" s="16">
        <f t="shared" si="109"/>
        <v>7.523568599719338E-2</v>
      </c>
      <c r="AD44" s="16">
        <f t="shared" si="110"/>
        <v>7.5229136089931356E-2</v>
      </c>
      <c r="AE44" s="16">
        <f t="shared" si="91"/>
        <v>79.329124006832615</v>
      </c>
      <c r="AF44" s="16">
        <f t="shared" si="92"/>
        <v>1.1833041839308882</v>
      </c>
      <c r="AG44" s="47">
        <v>271.75560000000002</v>
      </c>
      <c r="AH44" s="5"/>
      <c r="AI44" s="47">
        <v>2.5170360000000001</v>
      </c>
      <c r="AJ44" s="5"/>
      <c r="AK44" s="29">
        <f t="shared" si="111"/>
        <v>336232.99343998323</v>
      </c>
      <c r="AL44" s="22">
        <f t="shared" si="112"/>
        <v>0.93149128803696613</v>
      </c>
      <c r="AM44" s="22">
        <f t="shared" si="93"/>
        <v>319.87915098841256</v>
      </c>
      <c r="AN44" s="22">
        <f t="shared" si="113"/>
        <v>0.96513796321405065</v>
      </c>
      <c r="AO44" s="22">
        <f t="shared" si="114"/>
        <v>1.0361212988346802</v>
      </c>
      <c r="AP44" s="22">
        <f t="shared" si="115"/>
        <v>10.867291056384923</v>
      </c>
      <c r="AQ44" s="22">
        <f t="shared" si="116"/>
        <v>9.2019252526825829E-2</v>
      </c>
      <c r="AR44" s="22">
        <f t="shared" si="117"/>
        <v>0.30334675295250124</v>
      </c>
      <c r="AS44" s="22">
        <f t="shared" si="118"/>
        <v>0.30333901824320497</v>
      </c>
      <c r="AT44" s="22">
        <f t="shared" si="94"/>
        <v>319.87099473745963</v>
      </c>
      <c r="AU44" s="14"/>
      <c r="AV44" s="14">
        <v>695.21659999999997</v>
      </c>
      <c r="AX44" s="1">
        <v>4.595707</v>
      </c>
      <c r="AY44" s="69" t="s">
        <v>34</v>
      </c>
      <c r="AZ44" s="70">
        <f>PI()*(AZ40/2)^2</f>
        <v>50.26548245743669</v>
      </c>
      <c r="BA44" s="70" t="s">
        <v>35</v>
      </c>
      <c r="BB44" s="65">
        <v>75</v>
      </c>
      <c r="BC44" s="72">
        <v>30</v>
      </c>
      <c r="BD44" s="71">
        <f t="shared" ref="BD44:BD45" si="127">(AZ$38*(AZ$27-5))*AZ$32*BC44</f>
        <v>506676.06317096186</v>
      </c>
      <c r="BE44" s="71">
        <f t="shared" si="83"/>
        <v>0.50667606317096181</v>
      </c>
      <c r="BF44" s="71">
        <f t="shared" si="84"/>
        <v>2.0198012659825788</v>
      </c>
      <c r="BG44" s="71">
        <f t="shared" si="85"/>
        <v>23.536998626266211</v>
      </c>
      <c r="BH44" s="71"/>
      <c r="BI44" s="71"/>
    </row>
    <row r="45" spans="2:63" ht="15" x14ac:dyDescent="0.25">
      <c r="B45" s="25">
        <f t="shared" si="86"/>
        <v>0</v>
      </c>
      <c r="C45" s="47"/>
      <c r="D45" s="5"/>
      <c r="E45" s="47"/>
      <c r="F45" s="5"/>
      <c r="G45" s="26">
        <f t="shared" si="95"/>
        <v>0</v>
      </c>
      <c r="H45" s="16" t="e">
        <f t="shared" si="96"/>
        <v>#DIV/0!</v>
      </c>
      <c r="I45" s="16" t="e">
        <f t="shared" si="87"/>
        <v>#DIV/0!</v>
      </c>
      <c r="J45" s="16" t="e">
        <f t="shared" si="120"/>
        <v>#DIV/0!</v>
      </c>
      <c r="K45" s="16" t="e">
        <f t="shared" si="121"/>
        <v>#DIV/0!</v>
      </c>
      <c r="L45" s="16" t="e">
        <f t="shared" si="122"/>
        <v>#DIV/0!</v>
      </c>
      <c r="M45" s="16" t="e">
        <f t="shared" si="123"/>
        <v>#DIV/0!</v>
      </c>
      <c r="N45" s="16" t="e">
        <f t="shared" si="124"/>
        <v>#DIV/0!</v>
      </c>
      <c r="O45" s="16" t="e">
        <f t="shared" si="125"/>
        <v>#DIV/0!</v>
      </c>
      <c r="P45" s="16" t="e">
        <f t="shared" si="126"/>
        <v>#DIV/0!</v>
      </c>
      <c r="Q45" s="5">
        <f t="shared" si="89"/>
        <v>3.0305896622402564</v>
      </c>
      <c r="R45" s="47">
        <v>696</v>
      </c>
      <c r="S45" s="5"/>
      <c r="T45" s="47">
        <v>3.51</v>
      </c>
      <c r="U45" s="5"/>
      <c r="V45" s="26">
        <f t="shared" si="103"/>
        <v>861134.64978910575</v>
      </c>
      <c r="W45" s="16">
        <f t="shared" si="104"/>
        <v>0.1980318351441745</v>
      </c>
      <c r="X45" s="16">
        <f t="shared" si="90"/>
        <v>79.336030884040426</v>
      </c>
      <c r="Y45" s="16">
        <f t="shared" si="105"/>
        <v>0.44500767987100459</v>
      </c>
      <c r="Z45" s="16">
        <f t="shared" si="106"/>
        <v>2.2471522295747173</v>
      </c>
      <c r="AA45" s="16">
        <f t="shared" si="107"/>
        <v>176.66569635045823</v>
      </c>
      <c r="AB45" s="16">
        <f t="shared" si="108"/>
        <v>5.6604084474682808E-3</v>
      </c>
      <c r="AC45" s="16">
        <f t="shared" si="109"/>
        <v>7.523568599719338E-2</v>
      </c>
      <c r="AD45" s="16">
        <f t="shared" si="110"/>
        <v>7.5229136089931356E-2</v>
      </c>
      <c r="AE45" s="16">
        <f t="shared" si="91"/>
        <v>79.329124006832615</v>
      </c>
      <c r="AF45" s="5">
        <f t="shared" si="92"/>
        <v>1.5621082973812075</v>
      </c>
      <c r="AG45" s="47">
        <v>358.75110000000001</v>
      </c>
      <c r="AH45" s="5"/>
      <c r="AI45" s="47">
        <v>2.7945060000000002</v>
      </c>
      <c r="AJ45" s="5"/>
      <c r="AK45" s="29">
        <f t="shared" si="111"/>
        <v>443869.25698269607</v>
      </c>
      <c r="AL45" s="22">
        <f t="shared" si="112"/>
        <v>0.59342377025151927</v>
      </c>
      <c r="AM45" s="22">
        <f t="shared" si="93"/>
        <v>236.58247145066085</v>
      </c>
      <c r="AN45" s="22">
        <f t="shared" si="113"/>
        <v>0.77034003547233565</v>
      </c>
      <c r="AO45" s="22">
        <f t="shared" si="114"/>
        <v>1.29812803950511</v>
      </c>
      <c r="AP45" s="22">
        <f t="shared" si="115"/>
        <v>19.866805478707594</v>
      </c>
      <c r="AQ45" s="22">
        <f t="shared" si="116"/>
        <v>5.0335218768400282E-2</v>
      </c>
      <c r="AR45" s="22">
        <f t="shared" si="117"/>
        <v>0.22435511754448634</v>
      </c>
      <c r="AS45" s="22">
        <f t="shared" si="118"/>
        <v>0.2243477768662846</v>
      </c>
      <c r="AT45" s="22">
        <f t="shared" si="94"/>
        <v>236.5747307054971</v>
      </c>
      <c r="AU45" s="14"/>
      <c r="AV45" s="14">
        <v>903.68200000000002</v>
      </c>
      <c r="AX45" s="1">
        <v>7.3729548529397535</v>
      </c>
      <c r="AY45" s="69"/>
      <c r="AZ45" s="70"/>
      <c r="BA45" s="70"/>
      <c r="BB45" s="65">
        <v>75</v>
      </c>
      <c r="BC45" s="72">
        <v>20</v>
      </c>
      <c r="BD45" s="71">
        <f t="shared" si="127"/>
        <v>337784.04211397457</v>
      </c>
      <c r="BE45" s="71">
        <f t="shared" si="83"/>
        <v>0.33778404211397456</v>
      </c>
      <c r="BF45" s="71">
        <f t="shared" si="84"/>
        <v>1.3465341773217192</v>
      </c>
      <c r="BG45" s="71">
        <f t="shared" si="85"/>
        <v>23.536998626266211</v>
      </c>
      <c r="BH45" s="71"/>
      <c r="BI45" s="71"/>
    </row>
    <row r="46" spans="2:63" ht="15.75" x14ac:dyDescent="0.25">
      <c r="B46" s="25">
        <f t="shared" si="86"/>
        <v>0</v>
      </c>
      <c r="C46" s="47"/>
      <c r="D46" s="5"/>
      <c r="E46" s="47"/>
      <c r="F46" s="5"/>
      <c r="G46" s="26">
        <f t="shared" si="95"/>
        <v>0</v>
      </c>
      <c r="H46" s="16" t="e">
        <f t="shared" si="96"/>
        <v>#DIV/0!</v>
      </c>
      <c r="I46" s="16" t="e">
        <f t="shared" si="87"/>
        <v>#DIV/0!</v>
      </c>
      <c r="J46" s="16" t="e">
        <f t="shared" si="120"/>
        <v>#DIV/0!</v>
      </c>
      <c r="K46" s="16" t="e">
        <f t="shared" si="121"/>
        <v>#DIV/0!</v>
      </c>
      <c r="L46" s="16" t="e">
        <f t="shared" si="122"/>
        <v>#DIV/0!</v>
      </c>
      <c r="M46" s="16" t="e">
        <f t="shared" si="123"/>
        <v>#DIV/0!</v>
      </c>
      <c r="N46" s="16" t="e">
        <f t="shared" si="124"/>
        <v>#DIV/0!</v>
      </c>
      <c r="O46" s="16" t="e">
        <f t="shared" si="125"/>
        <v>#DIV/0!</v>
      </c>
      <c r="P46" s="16" t="e">
        <f t="shared" si="126"/>
        <v>#DIV/0!</v>
      </c>
      <c r="Q46" s="5">
        <f t="shared" si="89"/>
        <v>3.9188659425520553</v>
      </c>
      <c r="R46" s="47">
        <v>900</v>
      </c>
      <c r="S46" s="5"/>
      <c r="T46" s="47">
        <v>4.4400000000000004</v>
      </c>
      <c r="U46" s="5"/>
      <c r="V46" s="26">
        <f t="shared" si="103"/>
        <v>1113536.1850721193</v>
      </c>
      <c r="W46" s="16">
        <f t="shared" si="104"/>
        <v>0.14981121493166263</v>
      </c>
      <c r="X46" s="16">
        <f t="shared" si="90"/>
        <v>53.856604146700008</v>
      </c>
      <c r="Y46" s="16">
        <f t="shared" si="105"/>
        <v>0.38705453741257528</v>
      </c>
      <c r="Z46" s="16">
        <f t="shared" si="106"/>
        <v>2.5836152359430016</v>
      </c>
      <c r="AA46" s="16">
        <f t="shared" si="107"/>
        <v>383.36744984118189</v>
      </c>
      <c r="AB46" s="16">
        <f t="shared" si="108"/>
        <v>2.6084635000031202E-3</v>
      </c>
      <c r="AC46" s="16">
        <f t="shared" si="109"/>
        <v>5.1073119152868669E-2</v>
      </c>
      <c r="AD46" s="16">
        <f t="shared" si="110"/>
        <v>5.1067295476611756E-2</v>
      </c>
      <c r="AE46" s="16">
        <f t="shared" si="91"/>
        <v>53.850463080087103</v>
      </c>
      <c r="AF46" s="5">
        <f t="shared" si="92"/>
        <v>1.5621082973812075</v>
      </c>
      <c r="AG46" s="47">
        <v>358.75110000000001</v>
      </c>
      <c r="AH46" s="5"/>
      <c r="AI46" s="47">
        <v>2.7945060000000002</v>
      </c>
      <c r="AJ46" s="5"/>
      <c r="AK46" s="29">
        <f t="shared" si="111"/>
        <v>443869.25698269607</v>
      </c>
      <c r="AL46" s="22">
        <f t="shared" si="112"/>
        <v>0.59342377025151927</v>
      </c>
      <c r="AM46" s="22">
        <f t="shared" si="93"/>
        <v>236.58247145066085</v>
      </c>
      <c r="AN46" s="22">
        <f t="shared" si="113"/>
        <v>0.77034003547233565</v>
      </c>
      <c r="AO46" s="22">
        <f t="shared" si="114"/>
        <v>1.29812803950511</v>
      </c>
      <c r="AP46" s="22">
        <f t="shared" si="115"/>
        <v>19.866805478707594</v>
      </c>
      <c r="AQ46" s="22">
        <f t="shared" si="116"/>
        <v>5.0335218768400282E-2</v>
      </c>
      <c r="AR46" s="22">
        <f t="shared" si="117"/>
        <v>0.22435511754448634</v>
      </c>
      <c r="AS46" s="22">
        <f t="shared" si="118"/>
        <v>0.2243477768662846</v>
      </c>
      <c r="AT46" s="22">
        <f t="shared" si="94"/>
        <v>236.5747307054971</v>
      </c>
      <c r="AU46" s="14"/>
      <c r="AV46" s="14">
        <v>1190.231</v>
      </c>
      <c r="AX46" s="1">
        <v>10.186174834031661</v>
      </c>
      <c r="AY46" s="36"/>
      <c r="AZ46" s="42"/>
      <c r="BA46" s="42"/>
      <c r="BB46" s="65">
        <v>100</v>
      </c>
      <c r="BC46" s="72">
        <v>40</v>
      </c>
      <c r="BD46" s="71">
        <f>(AZ$38*(AZ$39))*AZ$32*BC46</f>
        <v>886683.11054918321</v>
      </c>
      <c r="BE46" s="71">
        <f t="shared" si="83"/>
        <v>0.88668311054918325</v>
      </c>
      <c r="BF46" s="71">
        <f t="shared" si="84"/>
        <v>3.5346522154695128</v>
      </c>
      <c r="BG46" s="71">
        <f t="shared" si="85"/>
        <v>31.382664835021618</v>
      </c>
      <c r="BH46" s="74">
        <v>112.01625</v>
      </c>
      <c r="BI46" s="74">
        <v>3.3633273579398506</v>
      </c>
      <c r="BJ46" s="1" t="s">
        <v>109</v>
      </c>
      <c r="BK46" s="1" t="s">
        <v>120</v>
      </c>
    </row>
    <row r="47" spans="2:63" ht="15.75" customHeight="1" x14ac:dyDescent="0.25">
      <c r="B47" s="25">
        <f t="shared" si="86"/>
        <v>0</v>
      </c>
      <c r="C47" s="47"/>
      <c r="D47" s="5"/>
      <c r="E47" s="47"/>
      <c r="F47" s="5"/>
      <c r="G47" s="26">
        <f t="shared" si="95"/>
        <v>0</v>
      </c>
      <c r="H47" s="16" t="e">
        <f t="shared" si="96"/>
        <v>#DIV/0!</v>
      </c>
      <c r="I47" s="16" t="e">
        <f t="shared" si="87"/>
        <v>#DIV/0!</v>
      </c>
      <c r="J47" s="16" t="e">
        <f t="shared" si="120"/>
        <v>#DIV/0!</v>
      </c>
      <c r="K47" s="16" t="e">
        <f t="shared" si="121"/>
        <v>#DIV/0!</v>
      </c>
      <c r="L47" s="16" t="e">
        <f t="shared" si="122"/>
        <v>#DIV/0!</v>
      </c>
      <c r="M47" s="16" t="e">
        <f t="shared" si="123"/>
        <v>#DIV/0!</v>
      </c>
      <c r="N47" s="16" t="e">
        <f t="shared" si="124"/>
        <v>#DIV/0!</v>
      </c>
      <c r="O47" s="16" t="e">
        <f t="shared" si="125"/>
        <v>#DIV/0!</v>
      </c>
      <c r="P47" s="16" t="e">
        <f t="shared" si="126"/>
        <v>#DIV/0!</v>
      </c>
      <c r="Q47" s="5">
        <f t="shared" si="89"/>
        <v>3.9188659425520553</v>
      </c>
      <c r="R47" s="47">
        <v>900</v>
      </c>
      <c r="S47" s="5"/>
      <c r="T47" s="47">
        <v>4.4400000000000004</v>
      </c>
      <c r="U47" s="5"/>
      <c r="V47" s="26">
        <f t="shared" si="103"/>
        <v>1113536.1850721193</v>
      </c>
      <c r="W47" s="16">
        <f t="shared" si="104"/>
        <v>0.14981121493166263</v>
      </c>
      <c r="X47" s="16">
        <f t="shared" si="90"/>
        <v>53.856604146700008</v>
      </c>
      <c r="Y47" s="16">
        <f t="shared" si="105"/>
        <v>0.38705453741257528</v>
      </c>
      <c r="Z47" s="16">
        <f t="shared" si="106"/>
        <v>2.5836152359430016</v>
      </c>
      <c r="AA47" s="16">
        <f t="shared" si="107"/>
        <v>383.36744984118189</v>
      </c>
      <c r="AB47" s="16">
        <f t="shared" si="108"/>
        <v>2.6084635000031202E-3</v>
      </c>
      <c r="AC47" s="16">
        <f t="shared" si="109"/>
        <v>5.1073119152868669E-2</v>
      </c>
      <c r="AD47" s="16">
        <f t="shared" si="110"/>
        <v>5.1067295476611756E-2</v>
      </c>
      <c r="AE47" s="16">
        <f t="shared" si="91"/>
        <v>53.850463080087103</v>
      </c>
      <c r="AF47" s="5">
        <f t="shared" si="92"/>
        <v>2.35849805707889</v>
      </c>
      <c r="AG47" s="47">
        <v>541.64859999999999</v>
      </c>
      <c r="AH47" s="5"/>
      <c r="AI47" s="47">
        <v>3.6102430000000001</v>
      </c>
      <c r="AJ47" s="5"/>
      <c r="AK47" s="29">
        <f t="shared" si="111"/>
        <v>670161.46188183816</v>
      </c>
      <c r="AL47" s="22">
        <f t="shared" si="112"/>
        <v>0.33631602355786966</v>
      </c>
      <c r="AM47" s="22">
        <f t="shared" si="93"/>
        <v>144.83382424621223</v>
      </c>
      <c r="AN47" s="22">
        <f t="shared" si="113"/>
        <v>0.57992760199689553</v>
      </c>
      <c r="AO47" s="22">
        <f t="shared" si="114"/>
        <v>1.7243531719418888</v>
      </c>
      <c r="AP47" s="22">
        <f t="shared" si="115"/>
        <v>53.009434586199013</v>
      </c>
      <c r="AQ47" s="22">
        <f t="shared" si="116"/>
        <v>1.886456642682904E-2</v>
      </c>
      <c r="AR47" s="22">
        <f t="shared" si="117"/>
        <v>0.13734833973087932</v>
      </c>
      <c r="AS47" s="22">
        <f t="shared" si="118"/>
        <v>0.13734188139701836</v>
      </c>
      <c r="AT47" s="22">
        <f t="shared" si="94"/>
        <v>144.82701393315585</v>
      </c>
      <c r="AU47" s="14"/>
      <c r="AV47" s="14">
        <v>1525.1130000000001</v>
      </c>
      <c r="AX47" s="1">
        <v>14.45362503305469</v>
      </c>
      <c r="AY47" s="36"/>
      <c r="AZ47" s="42"/>
      <c r="BA47" s="42"/>
      <c r="BB47" s="65">
        <v>100</v>
      </c>
      <c r="BC47" s="72">
        <v>30</v>
      </c>
      <c r="BD47" s="71">
        <f t="shared" ref="BD47:BD48" si="128">(AZ$38*(AZ$27))*AZ$32*BC47</f>
        <v>665012.33291188744</v>
      </c>
      <c r="BE47" s="71">
        <f t="shared" si="83"/>
        <v>0.66501233291188744</v>
      </c>
      <c r="BF47" s="71">
        <f t="shared" si="84"/>
        <v>2.6509891616021348</v>
      </c>
      <c r="BG47" s="71">
        <f t="shared" si="85"/>
        <v>31.382664835021618</v>
      </c>
      <c r="BH47" s="71">
        <v>49.017499999999998</v>
      </c>
      <c r="BI47" s="71">
        <v>1.8697303727186638</v>
      </c>
      <c r="BJ47" s="1" t="s">
        <v>110</v>
      </c>
    </row>
    <row r="48" spans="2:63" ht="15.75" x14ac:dyDescent="0.25">
      <c r="B48" s="25">
        <f t="shared" ref="B48:B55" si="129">(C48/3600)/(PI()*(H$5/1000/2)^2)</f>
        <v>0</v>
      </c>
      <c r="C48" s="47"/>
      <c r="D48" s="5"/>
      <c r="E48" s="47"/>
      <c r="F48" s="5"/>
      <c r="G48" s="26">
        <f t="shared" si="95"/>
        <v>0</v>
      </c>
      <c r="H48" s="16" t="e">
        <f t="shared" si="96"/>
        <v>#DIV/0!</v>
      </c>
      <c r="I48" s="16" t="e">
        <f t="shared" si="87"/>
        <v>#DIV/0!</v>
      </c>
      <c r="J48" s="16" t="e">
        <f t="shared" si="120"/>
        <v>#DIV/0!</v>
      </c>
      <c r="K48" s="16" t="e">
        <f t="shared" si="121"/>
        <v>#DIV/0!</v>
      </c>
      <c r="L48" s="16" t="e">
        <f t="shared" si="122"/>
        <v>#DIV/0!</v>
      </c>
      <c r="M48" s="16" t="e">
        <f t="shared" si="123"/>
        <v>#DIV/0!</v>
      </c>
      <c r="N48" s="16" t="e">
        <f t="shared" si="124"/>
        <v>#DIV/0!</v>
      </c>
      <c r="O48" s="16" t="e">
        <f t="shared" si="125"/>
        <v>#DIV/0!</v>
      </c>
      <c r="P48" s="16" t="e">
        <f t="shared" si="126"/>
        <v>#DIV/0!</v>
      </c>
      <c r="Q48" s="5">
        <f t="shared" ref="Q48:Q51" si="130">(R48/3600)/(PI()*($H$5/1000/2)^2)</f>
        <v>5.2293782566963802</v>
      </c>
      <c r="R48" s="47">
        <v>1200.97</v>
      </c>
      <c r="S48" s="5"/>
      <c r="T48" s="47">
        <v>7.12</v>
      </c>
      <c r="U48" s="5"/>
      <c r="V48" s="26">
        <f t="shared" ref="V48:V55" si="131">Q48*$H$5/1000/$BD$2</f>
        <v>1485915.0579845146</v>
      </c>
      <c r="W48" s="16">
        <f t="shared" ref="W48:W55" si="132">(T48/$BA$2*($H$5/1000)*2*$BA$2)/((Q48^2)*$AZ$2)</f>
        <v>0.13491556317211592</v>
      </c>
      <c r="X48" s="16">
        <f t="shared" ref="X48:X55" si="133">((3.7^2)/(10^(1/(W48^0.5))))^0.5*$H$5</f>
        <v>45.897938448246599</v>
      </c>
      <c r="Y48" s="16">
        <f t="shared" ref="Y48:Y55" si="134">W48^0.5</f>
        <v>0.36730853947616837</v>
      </c>
      <c r="Z48" s="16">
        <f t="shared" ref="Z48:Z55" si="135">1/Y48</f>
        <v>2.7225068097413012</v>
      </c>
      <c r="AA48" s="16">
        <f t="shared" ref="AA48:AA55" si="136">10^Z48</f>
        <v>527.84548333851615</v>
      </c>
      <c r="AB48" s="16">
        <f t="shared" ref="AB48:AB55" si="137">1/AA48</f>
        <v>1.8944938084440959E-3</v>
      </c>
      <c r="AC48" s="16">
        <f t="shared" ref="AC48:AC55" si="138">AB48^0.5</f>
        <v>4.3525783260546798E-2</v>
      </c>
      <c r="AD48" s="16">
        <f t="shared" ref="AD48:AD55" si="139">AC48-(2.51/(V48*Y48))</f>
        <v>4.3521184416181011E-2</v>
      </c>
      <c r="AE48" s="16">
        <f t="shared" ref="AE48:AE55" si="140">AD48*3.7*$H$5</f>
        <v>45.893088966862877</v>
      </c>
      <c r="AF48" s="5">
        <f t="shared" ref="AF48:AF55" si="141">(AG48/3600)/(PI()*($H$5/1000/2)^2)</f>
        <v>2.35849805707889</v>
      </c>
      <c r="AG48" s="47">
        <v>541.64859999999999</v>
      </c>
      <c r="AH48" s="5"/>
      <c r="AI48" s="47">
        <v>3.6102430000000001</v>
      </c>
      <c r="AJ48" s="5"/>
      <c r="AK48" s="29">
        <f t="shared" ref="AK48:AK55" si="142">AF48*$H$5/1000/$BD$2</f>
        <v>670161.46188183816</v>
      </c>
      <c r="AL48" s="22">
        <f t="shared" ref="AL48:AL55" si="143">(AI48/$BA$2*($H$5/1000)*2*$BA$2)/((AF48^2)*$AZ$2)</f>
        <v>0.33631602355786966</v>
      </c>
      <c r="AM48" s="22">
        <f t="shared" ref="AM48:AM55" si="144">((3.7^2)/(10^(1/(AL48^0.5))))^0.5*$H$5</f>
        <v>144.83382424621223</v>
      </c>
      <c r="AN48" s="22">
        <f t="shared" ref="AN48:AN55" si="145">AL48^0.5</f>
        <v>0.57992760199689553</v>
      </c>
      <c r="AO48" s="22">
        <f t="shared" ref="AO48:AO55" si="146">1/AN48</f>
        <v>1.7243531719418888</v>
      </c>
      <c r="AP48" s="22">
        <f t="shared" ref="AP48:AP55" si="147">10^AO48</f>
        <v>53.009434586199013</v>
      </c>
      <c r="AQ48" s="22">
        <f t="shared" ref="AQ48:AQ55" si="148">1/AP48</f>
        <v>1.886456642682904E-2</v>
      </c>
      <c r="AR48" s="22">
        <f t="shared" ref="AR48:AR55" si="149">AQ48^0.5</f>
        <v>0.13734833973087932</v>
      </c>
      <c r="AS48" s="22">
        <f t="shared" ref="AS48:AS55" si="150">AR48-(2.51/(AK48*AN48))</f>
        <v>0.13734188139701836</v>
      </c>
      <c r="AT48" s="22">
        <f t="shared" ref="AT48:AT55" si="151">AS48*3.7*$H$5</f>
        <v>144.82701393315585</v>
      </c>
      <c r="AU48" s="14"/>
      <c r="AV48" s="14">
        <v>1723.4680000000001</v>
      </c>
      <c r="AX48" s="1">
        <v>17.342170601347259</v>
      </c>
      <c r="AY48" s="36"/>
      <c r="AZ48" s="42"/>
      <c r="BA48" s="42"/>
      <c r="BB48" s="65">
        <v>100</v>
      </c>
      <c r="BC48" s="72">
        <v>20</v>
      </c>
      <c r="BD48" s="71">
        <f t="shared" si="128"/>
        <v>443341.55527459161</v>
      </c>
      <c r="BE48" s="71">
        <f t="shared" si="83"/>
        <v>0.44334155527459163</v>
      </c>
      <c r="BF48" s="71">
        <f t="shared" si="84"/>
        <v>1.7673261077347564</v>
      </c>
      <c r="BG48" s="71">
        <f t="shared" si="85"/>
        <v>31.382664835021618</v>
      </c>
      <c r="BH48" s="65"/>
      <c r="BI48" s="65"/>
    </row>
    <row r="49" spans="2:60" ht="15.75" x14ac:dyDescent="0.25">
      <c r="B49" s="25">
        <f t="shared" si="129"/>
        <v>0</v>
      </c>
      <c r="C49" s="47"/>
      <c r="D49" s="5"/>
      <c r="E49" s="47"/>
      <c r="F49" s="5"/>
      <c r="G49" s="26">
        <f t="shared" si="95"/>
        <v>0</v>
      </c>
      <c r="H49" s="16" t="e">
        <f t="shared" si="96"/>
        <v>#DIV/0!</v>
      </c>
      <c r="I49" s="16" t="e">
        <f t="shared" si="87"/>
        <v>#DIV/0!</v>
      </c>
      <c r="J49" s="16" t="e">
        <f t="shared" ref="J49:J51" si="152">H49^0.5</f>
        <v>#DIV/0!</v>
      </c>
      <c r="K49" s="16" t="e">
        <f t="shared" ref="K49:K51" si="153">1/J49</f>
        <v>#DIV/0!</v>
      </c>
      <c r="L49" s="16" t="e">
        <f t="shared" ref="L49:L51" si="154">10^K49</f>
        <v>#DIV/0!</v>
      </c>
      <c r="M49" s="16" t="e">
        <f t="shared" ref="M49:M51" si="155">1/L49</f>
        <v>#DIV/0!</v>
      </c>
      <c r="N49" s="16" t="e">
        <f t="shared" ref="N49:N51" si="156">M49^0.5</f>
        <v>#DIV/0!</v>
      </c>
      <c r="O49" s="16" t="e">
        <f t="shared" ref="O49:O51" si="157">N49-(2.51/(G49*J49))</f>
        <v>#DIV/0!</v>
      </c>
      <c r="P49" s="16" t="e">
        <f t="shared" ref="P49:P51" si="158">O49*3.7*$H$5</f>
        <v>#DIV/0!</v>
      </c>
      <c r="Q49" s="5">
        <f t="shared" si="130"/>
        <v>5.2293782566963802</v>
      </c>
      <c r="R49" s="47">
        <v>1200.97</v>
      </c>
      <c r="S49" s="5"/>
      <c r="T49" s="47">
        <v>7.12</v>
      </c>
      <c r="U49" s="5"/>
      <c r="V49" s="26">
        <f t="shared" si="131"/>
        <v>1485915.0579845146</v>
      </c>
      <c r="W49" s="16">
        <f t="shared" si="132"/>
        <v>0.13491556317211592</v>
      </c>
      <c r="X49" s="16">
        <f t="shared" si="133"/>
        <v>45.897938448246599</v>
      </c>
      <c r="Y49" s="16">
        <f t="shared" si="134"/>
        <v>0.36730853947616837</v>
      </c>
      <c r="Z49" s="16">
        <f t="shared" si="135"/>
        <v>2.7225068097413012</v>
      </c>
      <c r="AA49" s="16">
        <f t="shared" si="136"/>
        <v>527.84548333851615</v>
      </c>
      <c r="AB49" s="16">
        <f t="shared" si="137"/>
        <v>1.8944938084440959E-3</v>
      </c>
      <c r="AC49" s="16">
        <f t="shared" si="138"/>
        <v>4.3525783260546798E-2</v>
      </c>
      <c r="AD49" s="16">
        <f t="shared" si="139"/>
        <v>4.3521184416181011E-2</v>
      </c>
      <c r="AE49" s="16">
        <f t="shared" si="140"/>
        <v>45.893088966862877</v>
      </c>
      <c r="AF49" s="5">
        <f t="shared" si="141"/>
        <v>3.0271785071520387</v>
      </c>
      <c r="AG49" s="47">
        <v>695.21659999999997</v>
      </c>
      <c r="AH49" s="5"/>
      <c r="AI49" s="47">
        <v>4.595707</v>
      </c>
      <c r="AJ49" s="5"/>
      <c r="AK49" s="29">
        <f t="shared" si="142"/>
        <v>860165.37840312161</v>
      </c>
      <c r="AL49" s="22">
        <f t="shared" si="143"/>
        <v>0.25987137264649729</v>
      </c>
      <c r="AM49" s="22">
        <f t="shared" si="144"/>
        <v>110.21057332239478</v>
      </c>
      <c r="AN49" s="22">
        <f t="shared" si="145"/>
        <v>0.50977580625849372</v>
      </c>
      <c r="AO49" s="22">
        <f t="shared" si="146"/>
        <v>1.9616466449035963</v>
      </c>
      <c r="AP49" s="22">
        <f t="shared" si="147"/>
        <v>91.547532866601287</v>
      </c>
      <c r="AQ49" s="22">
        <f t="shared" si="148"/>
        <v>1.0923287266049566E-2</v>
      </c>
      <c r="AR49" s="22">
        <f t="shared" si="149"/>
        <v>0.10451453136310551</v>
      </c>
      <c r="AS49" s="22">
        <f t="shared" si="150"/>
        <v>0.10450880719284439</v>
      </c>
      <c r="AT49" s="22">
        <f t="shared" si="151"/>
        <v>110.20453718485442</v>
      </c>
      <c r="AU49" s="14"/>
      <c r="AV49" s="14"/>
      <c r="AY49" s="36"/>
      <c r="AZ49" s="42"/>
      <c r="BA49" s="42"/>
      <c r="BC49" s="37"/>
      <c r="BD49" s="37"/>
    </row>
    <row r="50" spans="2:60" ht="15.75" x14ac:dyDescent="0.25">
      <c r="B50" s="25">
        <f t="shared" si="129"/>
        <v>0</v>
      </c>
      <c r="C50" s="47"/>
      <c r="D50" s="5"/>
      <c r="E50" s="47"/>
      <c r="F50" s="5"/>
      <c r="G50" s="26">
        <f t="shared" si="95"/>
        <v>0</v>
      </c>
      <c r="H50" s="16" t="e">
        <f t="shared" si="96"/>
        <v>#DIV/0!</v>
      </c>
      <c r="I50" s="16" t="e">
        <f t="shared" si="87"/>
        <v>#DIV/0!</v>
      </c>
      <c r="J50" s="16" t="e">
        <f t="shared" si="152"/>
        <v>#DIV/0!</v>
      </c>
      <c r="K50" s="16" t="e">
        <f t="shared" si="153"/>
        <v>#DIV/0!</v>
      </c>
      <c r="L50" s="16" t="e">
        <f t="shared" si="154"/>
        <v>#DIV/0!</v>
      </c>
      <c r="M50" s="16" t="e">
        <f t="shared" si="155"/>
        <v>#DIV/0!</v>
      </c>
      <c r="N50" s="16" t="e">
        <f t="shared" si="156"/>
        <v>#DIV/0!</v>
      </c>
      <c r="O50" s="16" t="e">
        <f t="shared" si="157"/>
        <v>#DIV/0!</v>
      </c>
      <c r="P50" s="16" t="e">
        <f t="shared" si="158"/>
        <v>#DIV/0!</v>
      </c>
      <c r="Q50" s="5">
        <f t="shared" si="130"/>
        <v>6.5465961858979611</v>
      </c>
      <c r="R50" s="47">
        <v>1503.48</v>
      </c>
      <c r="S50" s="5"/>
      <c r="T50" s="47">
        <v>9.19</v>
      </c>
      <c r="U50" s="5"/>
      <c r="V50" s="26">
        <f t="shared" si="131"/>
        <v>1860199.3150358116</v>
      </c>
      <c r="W50" s="16">
        <f t="shared" si="132"/>
        <v>0.1111134354852564</v>
      </c>
      <c r="X50" s="16">
        <f t="shared" si="133"/>
        <v>33.347422610392783</v>
      </c>
      <c r="Y50" s="16">
        <f t="shared" si="134"/>
        <v>0.3333368198763173</v>
      </c>
      <c r="Z50" s="16">
        <f t="shared" si="135"/>
        <v>2.9999686214413526</v>
      </c>
      <c r="AA50" s="16">
        <f t="shared" si="136"/>
        <v>999.92775080871832</v>
      </c>
      <c r="AB50" s="16">
        <f t="shared" si="137"/>
        <v>1.0000722544116045E-3</v>
      </c>
      <c r="AC50" s="16">
        <f t="shared" si="138"/>
        <v>3.1623919023606235E-2</v>
      </c>
      <c r="AD50" s="16">
        <f t="shared" si="139"/>
        <v>3.1619871112622204E-2</v>
      </c>
      <c r="AE50" s="16">
        <f t="shared" si="140"/>
        <v>33.343154088260114</v>
      </c>
      <c r="AF50" s="5">
        <f t="shared" si="141"/>
        <v>3.0271785071520387</v>
      </c>
      <c r="AG50" s="47">
        <v>695.21659999999997</v>
      </c>
      <c r="AH50" s="5"/>
      <c r="AI50" s="47">
        <v>4.595707</v>
      </c>
      <c r="AJ50" s="5"/>
      <c r="AK50" s="29">
        <f t="shared" si="142"/>
        <v>860165.37840312161</v>
      </c>
      <c r="AL50" s="22">
        <f t="shared" si="143"/>
        <v>0.25987137264649729</v>
      </c>
      <c r="AM50" s="22">
        <f t="shared" si="144"/>
        <v>110.21057332239478</v>
      </c>
      <c r="AN50" s="22">
        <f t="shared" si="145"/>
        <v>0.50977580625849372</v>
      </c>
      <c r="AO50" s="22">
        <f t="shared" si="146"/>
        <v>1.9616466449035963</v>
      </c>
      <c r="AP50" s="22">
        <f t="shared" si="147"/>
        <v>91.547532866601287</v>
      </c>
      <c r="AQ50" s="22">
        <f t="shared" si="148"/>
        <v>1.0923287266049566E-2</v>
      </c>
      <c r="AR50" s="22">
        <f t="shared" si="149"/>
        <v>0.10451453136310551</v>
      </c>
      <c r="AS50" s="22">
        <f t="shared" si="150"/>
        <v>0.10450880719284439</v>
      </c>
      <c r="AT50" s="22">
        <f t="shared" si="151"/>
        <v>110.20453718485442</v>
      </c>
      <c r="AU50" s="14"/>
      <c r="AV50" s="14"/>
      <c r="AY50" s="36"/>
      <c r="AZ50" s="42"/>
      <c r="BA50" s="42"/>
      <c r="BC50" s="37"/>
      <c r="BD50" s="37"/>
    </row>
    <row r="51" spans="2:60" ht="15.75" x14ac:dyDescent="0.25">
      <c r="B51" s="25">
        <f t="shared" si="129"/>
        <v>0</v>
      </c>
      <c r="C51" s="47"/>
      <c r="D51" s="5"/>
      <c r="E51" s="47"/>
      <c r="F51" s="5"/>
      <c r="G51" s="26">
        <f t="shared" si="95"/>
        <v>0</v>
      </c>
      <c r="H51" s="16" t="e">
        <f t="shared" si="96"/>
        <v>#DIV/0!</v>
      </c>
      <c r="I51" s="16" t="e">
        <f t="shared" si="87"/>
        <v>#DIV/0!</v>
      </c>
      <c r="J51" s="16" t="e">
        <f t="shared" si="152"/>
        <v>#DIV/0!</v>
      </c>
      <c r="K51" s="16" t="e">
        <f t="shared" si="153"/>
        <v>#DIV/0!</v>
      </c>
      <c r="L51" s="16" t="e">
        <f t="shared" si="154"/>
        <v>#DIV/0!</v>
      </c>
      <c r="M51" s="16" t="e">
        <f t="shared" si="155"/>
        <v>#DIV/0!</v>
      </c>
      <c r="N51" s="16" t="e">
        <f t="shared" si="156"/>
        <v>#DIV/0!</v>
      </c>
      <c r="O51" s="16" t="e">
        <f t="shared" si="157"/>
        <v>#DIV/0!</v>
      </c>
      <c r="P51" s="16" t="e">
        <f t="shared" si="158"/>
        <v>#DIV/0!</v>
      </c>
      <c r="Q51" s="5">
        <f t="shared" si="130"/>
        <v>6.5465961858979611</v>
      </c>
      <c r="R51" s="47">
        <v>1503.48</v>
      </c>
      <c r="S51" s="5"/>
      <c r="T51" s="47">
        <v>9.19</v>
      </c>
      <c r="U51" s="5"/>
      <c r="V51" s="26">
        <f t="shared" si="131"/>
        <v>1860199.3150358116</v>
      </c>
      <c r="W51" s="16">
        <f t="shared" si="132"/>
        <v>0.1111134354852564</v>
      </c>
      <c r="X51" s="16">
        <f t="shared" si="133"/>
        <v>33.347422610392783</v>
      </c>
      <c r="Y51" s="16">
        <f t="shared" si="134"/>
        <v>0.3333368198763173</v>
      </c>
      <c r="Z51" s="16">
        <f t="shared" si="135"/>
        <v>2.9999686214413526</v>
      </c>
      <c r="AA51" s="16">
        <f t="shared" si="136"/>
        <v>999.92775080871832</v>
      </c>
      <c r="AB51" s="16">
        <f t="shared" si="137"/>
        <v>1.0000722544116045E-3</v>
      </c>
      <c r="AC51" s="16">
        <f t="shared" si="138"/>
        <v>3.1623919023606235E-2</v>
      </c>
      <c r="AD51" s="16">
        <f t="shared" si="139"/>
        <v>3.1619871112622204E-2</v>
      </c>
      <c r="AE51" s="16">
        <f t="shared" si="140"/>
        <v>33.343154088260114</v>
      </c>
      <c r="AF51" s="5">
        <f t="shared" si="141"/>
        <v>3.9348984585525848</v>
      </c>
      <c r="AG51" s="47">
        <v>903.68200000000002</v>
      </c>
      <c r="AH51" s="5"/>
      <c r="AI51" s="47">
        <v>7.3729548529397535</v>
      </c>
      <c r="AJ51" s="5"/>
      <c r="AK51" s="29">
        <f t="shared" si="142"/>
        <v>1118091.7853314921</v>
      </c>
      <c r="AL51" s="22">
        <f t="shared" si="143"/>
        <v>0.2467497297365589</v>
      </c>
      <c r="AM51" s="22">
        <f t="shared" si="144"/>
        <v>103.86804642164012</v>
      </c>
      <c r="AN51" s="22">
        <f t="shared" si="145"/>
        <v>0.49673909624324808</v>
      </c>
      <c r="AO51" s="22">
        <f t="shared" si="146"/>
        <v>2.013129241412297</v>
      </c>
      <c r="AP51" s="22">
        <f t="shared" si="147"/>
        <v>103.06927980065058</v>
      </c>
      <c r="AQ51" s="22">
        <f t="shared" si="148"/>
        <v>9.7022119678543441E-3</v>
      </c>
      <c r="AR51" s="22">
        <f t="shared" si="149"/>
        <v>9.8499806943233875E-2</v>
      </c>
      <c r="AS51" s="22">
        <f t="shared" si="150"/>
        <v>9.8495287677049972E-2</v>
      </c>
      <c r="AT51" s="22">
        <f t="shared" si="151"/>
        <v>103.8632808554492</v>
      </c>
      <c r="AU51" s="14"/>
      <c r="AV51" s="14"/>
      <c r="AY51" s="36"/>
      <c r="AZ51" s="42"/>
      <c r="BA51" s="42"/>
      <c r="BC51" s="37"/>
      <c r="BD51" s="37"/>
    </row>
    <row r="52" spans="2:60" ht="15.75" x14ac:dyDescent="0.25">
      <c r="B52" s="25">
        <f t="shared" ref="B52:B54" si="159">(C52/3600)/(PI()*(H$5/1000/2)^2)</f>
        <v>0</v>
      </c>
      <c r="C52" s="47"/>
      <c r="D52" s="5"/>
      <c r="E52" s="47"/>
      <c r="F52" s="5"/>
      <c r="G52" s="26">
        <f t="shared" si="95"/>
        <v>0</v>
      </c>
      <c r="H52" s="16" t="e">
        <f t="shared" si="96"/>
        <v>#DIV/0!</v>
      </c>
      <c r="I52" s="16" t="e">
        <f t="shared" si="87"/>
        <v>#DIV/0!</v>
      </c>
      <c r="J52" s="16" t="e">
        <f t="shared" ref="J52:J53" si="160">H52^0.5</f>
        <v>#DIV/0!</v>
      </c>
      <c r="K52" s="16" t="e">
        <f t="shared" ref="K52:K53" si="161">1/J52</f>
        <v>#DIV/0!</v>
      </c>
      <c r="L52" s="16" t="e">
        <f t="shared" ref="L52:L53" si="162">10^K52</f>
        <v>#DIV/0!</v>
      </c>
      <c r="M52" s="16" t="e">
        <f t="shared" ref="M52:M53" si="163">1/L52</f>
        <v>#DIV/0!</v>
      </c>
      <c r="N52" s="16" t="e">
        <f t="shared" ref="N52:N53" si="164">M52^0.5</f>
        <v>#DIV/0!</v>
      </c>
      <c r="O52" s="16" t="e">
        <f t="shared" ref="O52:O53" si="165">N52-(2.51/(G52*J52))</f>
        <v>#DIV/0!</v>
      </c>
      <c r="P52" s="16" t="e">
        <f t="shared" ref="P52:P53" si="166">O52*3.7*$H$5</f>
        <v>#DIV/0!</v>
      </c>
      <c r="Q52" s="5">
        <f t="shared" ref="Q52:Q53" si="167">(R52/3600)/(PI()*($H$5/1000/2)^2)</f>
        <v>7.8612450807594243</v>
      </c>
      <c r="R52" s="47">
        <v>1805.4</v>
      </c>
      <c r="S52" s="5"/>
      <c r="T52" s="47">
        <v>11.85</v>
      </c>
      <c r="U52" s="5"/>
      <c r="V52" s="26">
        <f t="shared" ref="V52:V54" si="168">Q52*$H$5/1000/$BD$2</f>
        <v>2233753.5872546718</v>
      </c>
      <c r="W52" s="16">
        <f t="shared" ref="W52:W54" si="169">(T52/$BA$2*($H$5/1000)*2*$BA$2)/((Q52^2)*$AZ$2)</f>
        <v>9.9361433594864129E-2</v>
      </c>
      <c r="X52" s="16">
        <f t="shared" ref="X52:X54" si="170">((3.7^2)/(10^(1/(W52^0.5))))^0.5*$H$5</f>
        <v>27.342305806502992</v>
      </c>
      <c r="Y52" s="16">
        <f t="shared" ref="Y52:Y54" si="171">W52^0.5</f>
        <v>0.31521648687031606</v>
      </c>
      <c r="Z52" s="16">
        <f t="shared" ref="Z52:Z54" si="172">1/Y52</f>
        <v>3.1724228955429363</v>
      </c>
      <c r="AA52" s="16">
        <f t="shared" ref="AA52:AA54" si="173">10^Z52</f>
        <v>1487.3832812434409</v>
      </c>
      <c r="AB52" s="16">
        <f t="shared" ref="AB52:AB54" si="174">1/AA52</f>
        <v>6.7232166221742643E-4</v>
      </c>
      <c r="AC52" s="16">
        <f t="shared" ref="AC52:AC54" si="175">AB52^0.5</f>
        <v>2.592916624609103E-2</v>
      </c>
      <c r="AD52" s="16">
        <f t="shared" ref="AD52:AD54" si="176">AC52-(2.51/(V52*Y52))</f>
        <v>2.5925601492345025E-2</v>
      </c>
      <c r="AE52" s="16">
        <f t="shared" ref="AE52:AE54" si="177">AD52*3.7*$H$5</f>
        <v>27.33854677367783</v>
      </c>
      <c r="AF52" s="5">
        <f t="shared" ref="AF52:AF54" si="178">(AG52/3600)/(PI()*($H$5/1000/2)^2)</f>
        <v>3.9348984585525848</v>
      </c>
      <c r="AG52" s="47">
        <v>903.68200000000002</v>
      </c>
      <c r="AH52" s="5"/>
      <c r="AI52" s="47">
        <v>7.3729548529397535</v>
      </c>
      <c r="AJ52" s="5"/>
      <c r="AK52" s="29">
        <f t="shared" ref="AK52:AK54" si="179">AF52*$H$5/1000/$BD$2</f>
        <v>1118091.7853314921</v>
      </c>
      <c r="AL52" s="22">
        <f t="shared" ref="AL52:AL54" si="180">(AI52/$BA$2*($H$5/1000)*2*$BA$2)/((AF52^2)*$AZ$2)</f>
        <v>0.2467497297365589</v>
      </c>
      <c r="AM52" s="22">
        <f t="shared" ref="AM52:AM54" si="181">((3.7^2)/(10^(1/(AL52^0.5))))^0.5*$H$5</f>
        <v>103.86804642164012</v>
      </c>
      <c r="AN52" s="22">
        <f t="shared" ref="AN52:AN54" si="182">AL52^0.5</f>
        <v>0.49673909624324808</v>
      </c>
      <c r="AO52" s="22">
        <f t="shared" ref="AO52:AO54" si="183">1/AN52</f>
        <v>2.013129241412297</v>
      </c>
      <c r="AP52" s="22">
        <f t="shared" ref="AP52:AP54" si="184">10^AO52</f>
        <v>103.06927980065058</v>
      </c>
      <c r="AQ52" s="22">
        <f t="shared" ref="AQ52:AQ54" si="185">1/AP52</f>
        <v>9.7022119678543441E-3</v>
      </c>
      <c r="AR52" s="22">
        <f t="shared" ref="AR52:AR54" si="186">AQ52^0.5</f>
        <v>9.8499806943233875E-2</v>
      </c>
      <c r="AS52" s="22">
        <f t="shared" ref="AS52:AS54" si="187">AR52-(2.51/(AK52*AN52))</f>
        <v>9.8495287677049972E-2</v>
      </c>
      <c r="AT52" s="22">
        <f t="shared" ref="AT52:AT54" si="188">AS52*3.7*$H$5</f>
        <v>103.8632808554492</v>
      </c>
      <c r="AU52" s="14"/>
      <c r="AV52" s="14"/>
      <c r="AY52" s="36"/>
      <c r="AZ52" s="42"/>
      <c r="BA52" s="42"/>
      <c r="BC52" s="37"/>
      <c r="BD52" s="37"/>
    </row>
    <row r="53" spans="2:60" ht="15.75" x14ac:dyDescent="0.25">
      <c r="B53" s="25">
        <f t="shared" si="159"/>
        <v>0</v>
      </c>
      <c r="C53" s="47"/>
      <c r="D53" s="5"/>
      <c r="E53" s="47"/>
      <c r="F53" s="5"/>
      <c r="G53" s="26">
        <f t="shared" si="95"/>
        <v>0</v>
      </c>
      <c r="H53" s="16" t="e">
        <f t="shared" si="96"/>
        <v>#DIV/0!</v>
      </c>
      <c r="I53" s="16" t="e">
        <f t="shared" si="87"/>
        <v>#DIV/0!</v>
      </c>
      <c r="J53" s="16" t="e">
        <f t="shared" si="160"/>
        <v>#DIV/0!</v>
      </c>
      <c r="K53" s="16" t="e">
        <f t="shared" si="161"/>
        <v>#DIV/0!</v>
      </c>
      <c r="L53" s="16" t="e">
        <f t="shared" si="162"/>
        <v>#DIV/0!</v>
      </c>
      <c r="M53" s="16" t="e">
        <f t="shared" si="163"/>
        <v>#DIV/0!</v>
      </c>
      <c r="N53" s="16" t="e">
        <f t="shared" si="164"/>
        <v>#DIV/0!</v>
      </c>
      <c r="O53" s="16" t="e">
        <f t="shared" si="165"/>
        <v>#DIV/0!</v>
      </c>
      <c r="P53" s="16" t="e">
        <f t="shared" si="166"/>
        <v>#DIV/0!</v>
      </c>
      <c r="Q53" s="5">
        <f t="shared" si="167"/>
        <v>7.8612450807594243</v>
      </c>
      <c r="R53" s="47">
        <v>1805.4</v>
      </c>
      <c r="S53" s="5"/>
      <c r="T53" s="47">
        <v>11.85</v>
      </c>
      <c r="U53" s="5"/>
      <c r="V53" s="26">
        <f t="shared" si="168"/>
        <v>2233753.5872546718</v>
      </c>
      <c r="W53" s="16">
        <f t="shared" si="169"/>
        <v>9.9361433594864129E-2</v>
      </c>
      <c r="X53" s="16">
        <f t="shared" si="170"/>
        <v>27.342305806502992</v>
      </c>
      <c r="Y53" s="16">
        <f t="shared" si="171"/>
        <v>0.31521648687031606</v>
      </c>
      <c r="Z53" s="16">
        <f t="shared" si="172"/>
        <v>3.1724228955429363</v>
      </c>
      <c r="AA53" s="16">
        <f t="shared" si="173"/>
        <v>1487.3832812434409</v>
      </c>
      <c r="AB53" s="16">
        <f t="shared" si="174"/>
        <v>6.7232166221742643E-4</v>
      </c>
      <c r="AC53" s="16">
        <f t="shared" si="175"/>
        <v>2.592916624609103E-2</v>
      </c>
      <c r="AD53" s="16">
        <f t="shared" si="176"/>
        <v>2.5925601492345025E-2</v>
      </c>
      <c r="AE53" s="16">
        <f t="shared" si="177"/>
        <v>27.33854677367783</v>
      </c>
      <c r="AF53" s="5">
        <f t="shared" si="178"/>
        <v>5.1826174774107505</v>
      </c>
      <c r="AG53" s="47">
        <v>1190.231</v>
      </c>
      <c r="AH53" s="5"/>
      <c r="AI53" s="47">
        <v>10.186174834031661</v>
      </c>
      <c r="AJ53" s="5"/>
      <c r="AK53" s="29">
        <f t="shared" si="179"/>
        <v>1472628.0967717487</v>
      </c>
      <c r="AL53" s="22">
        <f t="shared" si="180"/>
        <v>0.19651467435145237</v>
      </c>
      <c r="AM53" s="22">
        <f t="shared" si="181"/>
        <v>78.549172013334385</v>
      </c>
      <c r="AN53" s="22">
        <f t="shared" si="182"/>
        <v>0.44329975676899752</v>
      </c>
      <c r="AO53" s="22">
        <f t="shared" si="183"/>
        <v>2.2558099451453066</v>
      </c>
      <c r="AP53" s="22">
        <f t="shared" si="184"/>
        <v>180.22288814098812</v>
      </c>
      <c r="AQ53" s="22">
        <f t="shared" si="185"/>
        <v>5.5486847997780466E-3</v>
      </c>
      <c r="AR53" s="22">
        <f t="shared" si="186"/>
        <v>7.4489494559823982E-2</v>
      </c>
      <c r="AS53" s="22">
        <f t="shared" si="187"/>
        <v>7.4485649676669347E-2</v>
      </c>
      <c r="AT53" s="22">
        <f t="shared" si="188"/>
        <v>78.54511758404783</v>
      </c>
      <c r="AU53" s="14"/>
      <c r="AV53" s="14"/>
      <c r="AY53" s="36"/>
      <c r="AZ53" s="42"/>
      <c r="BA53" s="42"/>
      <c r="BC53" s="37"/>
      <c r="BD53" s="37"/>
    </row>
    <row r="54" spans="2:60" ht="15.75" x14ac:dyDescent="0.25">
      <c r="B54" s="25">
        <f t="shared" si="159"/>
        <v>0</v>
      </c>
      <c r="C54" s="47"/>
      <c r="D54" s="5"/>
      <c r="E54" s="47"/>
      <c r="F54" s="5"/>
      <c r="G54" s="26"/>
      <c r="H54" s="16"/>
      <c r="I54" s="16"/>
      <c r="J54" s="16"/>
      <c r="K54" s="16"/>
      <c r="L54" s="16"/>
      <c r="M54" s="16"/>
      <c r="N54" s="16"/>
      <c r="O54" s="16"/>
      <c r="P54" s="16"/>
      <c r="Q54" s="5"/>
      <c r="R54" s="47"/>
      <c r="S54" s="5"/>
      <c r="T54" s="47"/>
      <c r="U54" s="5"/>
      <c r="V54" s="26"/>
      <c r="W54" s="16"/>
      <c r="X54" s="16"/>
      <c r="Y54" s="16"/>
      <c r="Z54" s="16"/>
      <c r="AA54" s="16"/>
      <c r="AB54" s="16"/>
      <c r="AC54" s="16"/>
      <c r="AD54" s="16"/>
      <c r="AE54" s="16"/>
      <c r="AF54" s="5">
        <f t="shared" si="178"/>
        <v>5.1826174774107505</v>
      </c>
      <c r="AG54" s="47">
        <v>1190.231</v>
      </c>
      <c r="AH54" s="5"/>
      <c r="AI54" s="47">
        <v>10.186174834031661</v>
      </c>
      <c r="AJ54" s="5"/>
      <c r="AK54" s="29">
        <f t="shared" si="179"/>
        <v>1472628.0967717487</v>
      </c>
      <c r="AL54" s="22">
        <f t="shared" si="180"/>
        <v>0.19651467435145237</v>
      </c>
      <c r="AM54" s="22">
        <f t="shared" si="181"/>
        <v>78.549172013334385</v>
      </c>
      <c r="AN54" s="22">
        <f t="shared" si="182"/>
        <v>0.44329975676899752</v>
      </c>
      <c r="AO54" s="22">
        <f t="shared" si="183"/>
        <v>2.2558099451453066</v>
      </c>
      <c r="AP54" s="22">
        <f t="shared" si="184"/>
        <v>180.22288814098812</v>
      </c>
      <c r="AQ54" s="22">
        <f t="shared" si="185"/>
        <v>5.5486847997780466E-3</v>
      </c>
      <c r="AR54" s="22">
        <f t="shared" si="186"/>
        <v>7.4489494559823982E-2</v>
      </c>
      <c r="AS54" s="22">
        <f t="shared" si="187"/>
        <v>7.4485649676669347E-2</v>
      </c>
      <c r="AT54" s="22">
        <f t="shared" si="188"/>
        <v>78.54511758404783</v>
      </c>
      <c r="AU54" s="14"/>
      <c r="AV54" s="14"/>
      <c r="AY54" s="36"/>
      <c r="AZ54" s="42"/>
      <c r="BA54" s="42"/>
      <c r="BC54" s="37"/>
      <c r="BD54" s="37"/>
    </row>
    <row r="55" spans="2:60" ht="15.75" x14ac:dyDescent="0.25">
      <c r="B55" s="25">
        <f t="shared" si="129"/>
        <v>0</v>
      </c>
      <c r="C55" s="47"/>
      <c r="D55" s="5"/>
      <c r="E55" s="47"/>
      <c r="F55" s="5"/>
      <c r="G55" s="26"/>
      <c r="H55" s="16"/>
      <c r="I55" s="16"/>
      <c r="J55" s="16"/>
      <c r="K55" s="16"/>
      <c r="L55" s="16"/>
      <c r="M55" s="16"/>
      <c r="N55" s="16"/>
      <c r="O55" s="16"/>
      <c r="P55" s="16"/>
      <c r="Q55" s="5"/>
      <c r="R55" s="47"/>
      <c r="S55" s="5"/>
      <c r="T55" s="47"/>
      <c r="U55" s="5"/>
      <c r="V55" s="26"/>
      <c r="W55" s="16"/>
      <c r="X55" s="16"/>
      <c r="Y55" s="16"/>
      <c r="Z55" s="16"/>
      <c r="AA55" s="16"/>
      <c r="AB55" s="16"/>
      <c r="AC55" s="16"/>
      <c r="AD55" s="16"/>
      <c r="AE55" s="16"/>
      <c r="AF55" s="5">
        <f t="shared" si="141"/>
        <v>6.6407926602704368</v>
      </c>
      <c r="AG55" s="47">
        <v>1525.1130000000001</v>
      </c>
      <c r="AH55" s="5"/>
      <c r="AI55" s="47">
        <v>14.45362503305469</v>
      </c>
      <c r="AJ55" s="5"/>
      <c r="AK55" s="29">
        <f t="shared" si="142"/>
        <v>1886965.0131376616</v>
      </c>
      <c r="AL55" s="22">
        <f t="shared" si="143"/>
        <v>0.16983183908594143</v>
      </c>
      <c r="AM55" s="22">
        <f t="shared" si="144"/>
        <v>64.530976046389156</v>
      </c>
      <c r="AN55" s="22">
        <f t="shared" si="145"/>
        <v>0.41210658704507674</v>
      </c>
      <c r="AO55" s="22">
        <f t="shared" si="146"/>
        <v>2.4265567002223594</v>
      </c>
      <c r="AP55" s="22">
        <f t="shared" si="147"/>
        <v>267.02793682681147</v>
      </c>
      <c r="AQ55" s="22">
        <f t="shared" si="148"/>
        <v>3.744926511747639E-3</v>
      </c>
      <c r="AR55" s="22">
        <f t="shared" si="149"/>
        <v>6.1195804690743622E-2</v>
      </c>
      <c r="AS55" s="22">
        <f t="shared" si="150"/>
        <v>6.1192576937565815E-2</v>
      </c>
      <c r="AT55" s="22">
        <f t="shared" si="151"/>
        <v>64.527572380663159</v>
      </c>
      <c r="AU55" s="14"/>
      <c r="AV55" s="14"/>
      <c r="AY55" s="36"/>
      <c r="AZ55" s="42"/>
      <c r="BA55" s="42"/>
      <c r="BC55" s="37"/>
      <c r="BD55" s="37"/>
    </row>
    <row r="56" spans="2:60" ht="15.75" x14ac:dyDescent="0.25">
      <c r="B56" s="25">
        <f t="shared" si="86"/>
        <v>0</v>
      </c>
      <c r="C56" s="47"/>
      <c r="D56" s="5"/>
      <c r="E56" s="47"/>
      <c r="F56" s="5"/>
      <c r="G56" s="26"/>
      <c r="H56" s="16"/>
      <c r="I56" s="16"/>
      <c r="J56" s="16"/>
      <c r="K56" s="16"/>
      <c r="L56" s="16"/>
      <c r="M56" s="16"/>
      <c r="N56" s="16"/>
      <c r="O56" s="16"/>
      <c r="P56" s="16"/>
      <c r="Q56" s="5"/>
      <c r="R56" s="47"/>
      <c r="S56" s="5"/>
      <c r="T56" s="47"/>
      <c r="U56" s="5"/>
      <c r="V56" s="26"/>
      <c r="W56" s="16"/>
      <c r="X56" s="16"/>
      <c r="Y56" s="16"/>
      <c r="Z56" s="16"/>
      <c r="AA56" s="16"/>
      <c r="AB56" s="16"/>
      <c r="AC56" s="16"/>
      <c r="AD56" s="16"/>
      <c r="AE56" s="16"/>
      <c r="AF56" s="5">
        <f t="shared" si="92"/>
        <v>6.6407926602704368</v>
      </c>
      <c r="AG56" s="47">
        <v>1525.1130000000001</v>
      </c>
      <c r="AH56" s="5"/>
      <c r="AI56" s="47">
        <v>14.45362503305469</v>
      </c>
      <c r="AJ56" s="5"/>
      <c r="AK56" s="29">
        <f t="shared" si="111"/>
        <v>1886965.0131376616</v>
      </c>
      <c r="AL56" s="22">
        <f t="shared" si="112"/>
        <v>0.16983183908594143</v>
      </c>
      <c r="AM56" s="22">
        <f t="shared" si="93"/>
        <v>64.530976046389156</v>
      </c>
      <c r="AN56" s="22">
        <f t="shared" si="113"/>
        <v>0.41210658704507674</v>
      </c>
      <c r="AO56" s="22">
        <f t="shared" si="114"/>
        <v>2.4265567002223594</v>
      </c>
      <c r="AP56" s="22">
        <f t="shared" si="115"/>
        <v>267.02793682681147</v>
      </c>
      <c r="AQ56" s="22">
        <f t="shared" si="116"/>
        <v>3.744926511747639E-3</v>
      </c>
      <c r="AR56" s="22">
        <f t="shared" si="117"/>
        <v>6.1195804690743622E-2</v>
      </c>
      <c r="AS56" s="22">
        <f t="shared" si="118"/>
        <v>6.1192576937565815E-2</v>
      </c>
      <c r="AT56" s="22">
        <f t="shared" si="94"/>
        <v>64.527572380663159</v>
      </c>
      <c r="AU56" s="14"/>
      <c r="AV56" s="14"/>
      <c r="AY56" s="36"/>
      <c r="AZ56" s="42"/>
      <c r="BA56" s="42"/>
      <c r="BC56" s="37"/>
      <c r="BD56" s="37"/>
    </row>
    <row r="57" spans="2:60" s="23" customFormat="1" ht="15.75" x14ac:dyDescent="0.25">
      <c r="B57" s="33">
        <f t="shared" si="86"/>
        <v>0</v>
      </c>
      <c r="C57" s="30"/>
      <c r="D57" s="30"/>
      <c r="E57" s="30"/>
      <c r="F57" s="30"/>
      <c r="G57" s="38"/>
      <c r="H57" s="32"/>
      <c r="I57" s="32"/>
      <c r="J57" s="32"/>
      <c r="K57" s="32"/>
      <c r="L57" s="32"/>
      <c r="M57" s="32"/>
      <c r="N57" s="32"/>
      <c r="O57" s="32"/>
      <c r="P57" s="32"/>
      <c r="Q57" s="30"/>
      <c r="R57" s="30"/>
      <c r="S57" s="30"/>
      <c r="T57" s="30"/>
      <c r="U57" s="30"/>
      <c r="V57" s="38"/>
      <c r="W57" s="32"/>
      <c r="X57" s="32">
        <f>AVERAGE(X50:X53)</f>
        <v>30.344864208447888</v>
      </c>
      <c r="Y57" s="32"/>
      <c r="Z57" s="32"/>
      <c r="AA57" s="32"/>
      <c r="AB57" s="32"/>
      <c r="AC57" s="32"/>
      <c r="AD57" s="32"/>
      <c r="AE57" s="32">
        <f>AVERAGE(AE50:AE53)</f>
        <v>30.340850430968974</v>
      </c>
      <c r="AF57" s="5">
        <f t="shared" si="92"/>
        <v>7.5044889425314514</v>
      </c>
      <c r="AG57" s="5">
        <v>1723.4680000000001</v>
      </c>
      <c r="AH57" s="5"/>
      <c r="AI57" s="5">
        <v>17.342170601347259</v>
      </c>
      <c r="AJ57" s="30"/>
      <c r="AK57" s="29">
        <f t="shared" si="111"/>
        <v>2132382.2020154176</v>
      </c>
      <c r="AL57" s="22">
        <f t="shared" si="112"/>
        <v>0.15956711047500607</v>
      </c>
      <c r="AM57" s="22">
        <f t="shared" si="93"/>
        <v>59.067986961002987</v>
      </c>
      <c r="AN57" s="40">
        <f t="shared" si="113"/>
        <v>0.39945852159517897</v>
      </c>
      <c r="AO57" s="40">
        <f t="shared" si="114"/>
        <v>2.5033888274723664</v>
      </c>
      <c r="AP57" s="40">
        <f t="shared" si="115"/>
        <v>318.70496368994208</v>
      </c>
      <c r="AQ57" s="40">
        <f t="shared" si="116"/>
        <v>3.1376982285499268E-3</v>
      </c>
      <c r="AR57" s="40">
        <f t="shared" si="117"/>
        <v>5.6015160702705541E-2</v>
      </c>
      <c r="AS57" s="40">
        <f t="shared" si="118"/>
        <v>5.6012213995520019E-2</v>
      </c>
      <c r="AT57" s="22">
        <f t="shared" si="94"/>
        <v>59.064879658275864</v>
      </c>
      <c r="AU57" s="41"/>
      <c r="AV57" s="41"/>
      <c r="AY57" s="36"/>
      <c r="AZ57" s="42"/>
      <c r="BA57" s="42"/>
      <c r="BB57" s="1"/>
      <c r="BC57" s="37"/>
      <c r="BD57" s="37"/>
      <c r="BE57" s="1"/>
      <c r="BF57" s="1"/>
      <c r="BG57" s="1"/>
      <c r="BH57" s="1"/>
    </row>
    <row r="58" spans="2:60" s="23" customFormat="1" ht="15.75" x14ac:dyDescent="0.25">
      <c r="B58" s="33">
        <f t="shared" si="86"/>
        <v>0</v>
      </c>
      <c r="C58" s="30"/>
      <c r="D58" s="30"/>
      <c r="E58" s="30"/>
      <c r="F58" s="30"/>
      <c r="G58" s="38"/>
      <c r="H58" s="32"/>
      <c r="I58" s="32" t="e">
        <f>AVERAGE(I50:I53)</f>
        <v>#DIV/0!</v>
      </c>
      <c r="J58" s="32"/>
      <c r="K58" s="32"/>
      <c r="L58" s="32"/>
      <c r="M58" s="32"/>
      <c r="N58" s="32"/>
      <c r="O58" s="32"/>
      <c r="P58" s="32"/>
      <c r="Q58" s="30"/>
      <c r="R58" s="30"/>
      <c r="S58" s="30"/>
      <c r="T58" s="30"/>
      <c r="U58" s="30"/>
      <c r="V58" s="38"/>
      <c r="W58" s="32"/>
      <c r="X58" s="32">
        <f>STDEV(X50:X53)</f>
        <v>3.4670558032409158</v>
      </c>
      <c r="Y58" s="32"/>
      <c r="Z58" s="32"/>
      <c r="AA58" s="32"/>
      <c r="AB58" s="32"/>
      <c r="AC58" s="32"/>
      <c r="AD58" s="32"/>
      <c r="AE58" s="32">
        <f>STDEV(AE50:AE53)</f>
        <v>3.4667616494520774</v>
      </c>
      <c r="AF58" s="30"/>
      <c r="AG58" s="30"/>
      <c r="AH58" s="30"/>
      <c r="AI58" s="30"/>
      <c r="AJ58" s="30"/>
      <c r="AK58" s="39"/>
      <c r="AL58" s="40"/>
      <c r="AM58" s="40">
        <f>AVERAGE(AM55:AM57)</f>
        <v>62.709979684593769</v>
      </c>
      <c r="AN58" s="40"/>
      <c r="AO58" s="40"/>
      <c r="AP58" s="40"/>
      <c r="AQ58" s="40"/>
      <c r="AR58" s="40"/>
      <c r="AS58" s="40"/>
      <c r="AT58" s="40">
        <f>AVERAGE(AT55:AT57)</f>
        <v>62.70667480653406</v>
      </c>
      <c r="AU58" s="41"/>
      <c r="AV58" s="41"/>
      <c r="AY58" s="36"/>
      <c r="AZ58" s="42"/>
      <c r="BA58" s="42"/>
      <c r="BB58" s="1"/>
      <c r="BC58" s="37"/>
      <c r="BD58" s="37"/>
      <c r="BE58" s="1"/>
      <c r="BF58" s="1"/>
      <c r="BG58" s="1"/>
      <c r="BH58" s="1"/>
    </row>
    <row r="59" spans="2:60" s="23" customFormat="1" ht="15.75" x14ac:dyDescent="0.25">
      <c r="B59" s="33"/>
      <c r="C59" s="30"/>
      <c r="D59" s="30"/>
      <c r="E59" s="30"/>
      <c r="F59" s="30"/>
      <c r="G59" s="38"/>
      <c r="H59" s="32"/>
      <c r="I59" s="32" t="e">
        <f>STDEV(I50:I53)</f>
        <v>#DIV/0!</v>
      </c>
      <c r="J59" s="32"/>
      <c r="K59" s="32"/>
      <c r="L59" s="32"/>
      <c r="M59" s="32"/>
      <c r="N59" s="32"/>
      <c r="O59" s="32"/>
      <c r="P59" s="32"/>
      <c r="Q59" s="30"/>
      <c r="R59" s="30"/>
      <c r="S59" s="30"/>
      <c r="T59" s="30"/>
      <c r="U59" s="30"/>
      <c r="V59" s="38"/>
      <c r="W59" s="32"/>
      <c r="X59" s="32"/>
      <c r="Y59" s="32"/>
      <c r="Z59" s="32"/>
      <c r="AA59" s="32"/>
      <c r="AB59" s="32"/>
      <c r="AC59" s="32"/>
      <c r="AD59" s="32"/>
      <c r="AE59" s="32"/>
      <c r="AF59" s="30"/>
      <c r="AG59" s="30"/>
      <c r="AH59" s="30"/>
      <c r="AI59" s="30"/>
      <c r="AJ59" s="30"/>
      <c r="AK59" s="39"/>
      <c r="AL59" s="40"/>
      <c r="AM59" s="40">
        <f>STDEV(AM55:AM57)</f>
        <v>3.1540582190276925</v>
      </c>
      <c r="AN59" s="40"/>
      <c r="AO59" s="40"/>
      <c r="AP59" s="40"/>
      <c r="AQ59" s="40"/>
      <c r="AR59" s="40"/>
      <c r="AS59" s="40"/>
      <c r="AT59" s="40">
        <f>STDEV(AT55:AT57)</f>
        <v>3.1538871137705144</v>
      </c>
      <c r="AU59" s="41"/>
      <c r="AV59" s="41"/>
      <c r="AY59" s="36"/>
      <c r="AZ59" s="42"/>
      <c r="BA59" s="42"/>
      <c r="BB59" s="1"/>
      <c r="BC59" s="37"/>
      <c r="BD59" s="37"/>
      <c r="BE59" s="1"/>
      <c r="BF59" s="1"/>
      <c r="BG59" s="1"/>
      <c r="BH59" s="1"/>
    </row>
    <row r="60" spans="2:60" ht="15.75" x14ac:dyDescent="0.25">
      <c r="C60" s="80">
        <v>0.75</v>
      </c>
      <c r="D60" s="80"/>
      <c r="E60" s="81"/>
      <c r="F60" s="81"/>
      <c r="G60" s="81"/>
      <c r="H60" s="81"/>
      <c r="I60" s="81"/>
      <c r="J60" s="81"/>
      <c r="K60" s="81"/>
      <c r="L60" s="81"/>
      <c r="M60" s="81"/>
      <c r="N60" s="81"/>
      <c r="O60" s="81"/>
      <c r="P60" s="81"/>
      <c r="Q60" s="81"/>
      <c r="R60" s="81"/>
      <c r="S60" s="81"/>
      <c r="T60" s="81"/>
      <c r="U60" s="81"/>
      <c r="V60" s="81"/>
      <c r="W60" s="81"/>
      <c r="X60" s="81"/>
      <c r="Y60" s="81"/>
      <c r="Z60" s="81"/>
      <c r="AA60" s="81"/>
      <c r="AB60" s="81"/>
      <c r="AC60" s="81"/>
      <c r="AD60" s="81"/>
      <c r="AE60" s="81"/>
      <c r="AF60" s="81"/>
      <c r="AG60" s="81"/>
      <c r="AH60" s="81"/>
      <c r="AI60" s="81"/>
      <c r="AJ60" s="81"/>
      <c r="AK60" s="19"/>
      <c r="AL60" s="19"/>
      <c r="AM60" s="19"/>
      <c r="AN60" s="19"/>
      <c r="AO60" s="19"/>
      <c r="AP60" s="19"/>
      <c r="AQ60" s="19"/>
      <c r="AR60" s="19"/>
      <c r="AS60" s="19"/>
      <c r="AT60" s="19"/>
      <c r="AU60" s="19"/>
      <c r="AV60" s="19"/>
      <c r="AY60" s="36"/>
      <c r="AZ60" s="42"/>
      <c r="BA60" s="42"/>
      <c r="BC60" s="37"/>
      <c r="BD60" s="37"/>
    </row>
    <row r="61" spans="2:60" ht="15.75" x14ac:dyDescent="0.25">
      <c r="C61" s="82" t="s">
        <v>45</v>
      </c>
      <c r="D61" s="82"/>
      <c r="E61" s="82"/>
      <c r="F61" s="82"/>
      <c r="G61" s="45"/>
      <c r="H61" s="45"/>
      <c r="I61" s="45" t="s">
        <v>65</v>
      </c>
      <c r="J61" s="45"/>
      <c r="K61" s="45"/>
      <c r="L61" s="45"/>
      <c r="M61" s="45"/>
      <c r="N61" s="45"/>
      <c r="O61" s="45"/>
      <c r="P61" s="45"/>
      <c r="Q61" s="45"/>
      <c r="R61" s="82" t="s">
        <v>46</v>
      </c>
      <c r="S61" s="82"/>
      <c r="T61" s="82"/>
      <c r="U61" s="82"/>
      <c r="V61" s="45"/>
      <c r="W61" s="45"/>
      <c r="X61" s="45" t="s">
        <v>65</v>
      </c>
      <c r="Y61" s="45"/>
      <c r="Z61" s="45"/>
      <c r="AA61" s="45"/>
      <c r="AB61" s="45"/>
      <c r="AC61" s="45"/>
      <c r="AD61" s="45"/>
      <c r="AE61" s="45"/>
      <c r="AF61" s="45"/>
      <c r="AG61" s="82" t="s">
        <v>47</v>
      </c>
      <c r="AH61" s="82"/>
      <c r="AI61" s="82"/>
      <c r="AJ61" s="82"/>
      <c r="AK61" s="20"/>
      <c r="AL61" s="20"/>
      <c r="AM61" s="20" t="s">
        <v>65</v>
      </c>
      <c r="AN61" s="20"/>
      <c r="AO61" s="20"/>
      <c r="AP61" s="20"/>
      <c r="AQ61" s="20"/>
      <c r="AR61" s="20"/>
      <c r="AS61" s="20"/>
      <c r="AT61" s="20"/>
      <c r="AU61" s="20"/>
      <c r="AV61" s="20"/>
      <c r="AY61" s="36"/>
      <c r="AZ61" s="42"/>
      <c r="BA61" s="42"/>
      <c r="BC61" s="37"/>
      <c r="BD61" s="37"/>
    </row>
    <row r="62" spans="2:60" ht="15.75" x14ac:dyDescent="0.25">
      <c r="B62" s="23" t="s">
        <v>50</v>
      </c>
      <c r="C62" s="3" t="s">
        <v>8</v>
      </c>
      <c r="D62" s="3" t="s">
        <v>48</v>
      </c>
      <c r="E62" s="4" t="s">
        <v>9</v>
      </c>
      <c r="F62" s="3" t="s">
        <v>49</v>
      </c>
      <c r="G62" s="3" t="s">
        <v>51</v>
      </c>
      <c r="H62" s="3" t="s">
        <v>52</v>
      </c>
      <c r="I62" s="3" t="s">
        <v>66</v>
      </c>
      <c r="J62" s="3" t="s">
        <v>56</v>
      </c>
      <c r="K62" s="3" t="s">
        <v>57</v>
      </c>
      <c r="L62" s="3" t="s">
        <v>58</v>
      </c>
      <c r="M62" s="3" t="s">
        <v>60</v>
      </c>
      <c r="N62" s="3" t="s">
        <v>59</v>
      </c>
      <c r="O62" s="3" t="s">
        <v>61</v>
      </c>
      <c r="P62" s="3" t="s">
        <v>62</v>
      </c>
      <c r="Q62" s="3" t="s">
        <v>50</v>
      </c>
      <c r="R62" s="3" t="s">
        <v>8</v>
      </c>
      <c r="S62" s="3" t="s">
        <v>48</v>
      </c>
      <c r="T62" s="4" t="s">
        <v>9</v>
      </c>
      <c r="U62" s="3" t="s">
        <v>49</v>
      </c>
      <c r="V62" s="3" t="s">
        <v>51</v>
      </c>
      <c r="W62" s="3" t="s">
        <v>52</v>
      </c>
      <c r="X62" s="3" t="s">
        <v>66</v>
      </c>
      <c r="Y62" s="3" t="s">
        <v>56</v>
      </c>
      <c r="Z62" s="3" t="s">
        <v>57</v>
      </c>
      <c r="AA62" s="3" t="s">
        <v>58</v>
      </c>
      <c r="AB62" s="3" t="s">
        <v>60</v>
      </c>
      <c r="AC62" s="3" t="s">
        <v>59</v>
      </c>
      <c r="AD62" s="3" t="s">
        <v>61</v>
      </c>
      <c r="AE62" s="3" t="s">
        <v>62</v>
      </c>
      <c r="AF62" s="3" t="s">
        <v>50</v>
      </c>
      <c r="AG62" s="3" t="s">
        <v>8</v>
      </c>
      <c r="AH62" s="3" t="s">
        <v>48</v>
      </c>
      <c r="AI62" s="4" t="s">
        <v>9</v>
      </c>
      <c r="AJ62" s="3" t="s">
        <v>49</v>
      </c>
      <c r="AK62" s="21" t="s">
        <v>51</v>
      </c>
      <c r="AL62" s="21" t="s">
        <v>52</v>
      </c>
      <c r="AM62" s="21" t="s">
        <v>66</v>
      </c>
      <c r="AN62" s="21" t="s">
        <v>56</v>
      </c>
      <c r="AO62" s="21" t="s">
        <v>57</v>
      </c>
      <c r="AP62" s="21" t="s">
        <v>58</v>
      </c>
      <c r="AQ62" s="21" t="s">
        <v>60</v>
      </c>
      <c r="AR62" s="21" t="s">
        <v>59</v>
      </c>
      <c r="AS62" s="21" t="s">
        <v>61</v>
      </c>
      <c r="AT62" s="21" t="s">
        <v>62</v>
      </c>
      <c r="AU62" s="21"/>
      <c r="AV62" s="21"/>
      <c r="AY62" s="36"/>
      <c r="AZ62" s="42"/>
      <c r="BA62" s="42"/>
      <c r="BC62" s="37"/>
      <c r="BD62" s="37"/>
    </row>
    <row r="63" spans="2:60" ht="15.75" customHeight="1" x14ac:dyDescent="0.25">
      <c r="B63" s="24">
        <f t="shared" ref="B63:B72" si="189">(C63/3600)/(PI()*(H$5/1000/2)^2)</f>
        <v>0</v>
      </c>
      <c r="C63" s="47"/>
      <c r="D63" s="5"/>
      <c r="E63" s="47"/>
      <c r="F63" s="28"/>
      <c r="G63" s="26">
        <f>B63*$H$5/1000/$BD$2</f>
        <v>0</v>
      </c>
      <c r="H63" s="5" t="e">
        <f>(E63/$BA$2*($H$5/1000)*2*$BA$2)/((B63^2)*$AZ$2)</f>
        <v>#DIV/0!</v>
      </c>
      <c r="I63" s="5" t="e">
        <f t="shared" ref="I63:I72" si="190">((3.7^2)/(10^(1/(H63^0.5))))^0.5*$H$5</f>
        <v>#DIV/0!</v>
      </c>
      <c r="J63" s="5" t="e">
        <f>H63^0.5</f>
        <v>#DIV/0!</v>
      </c>
      <c r="K63" s="5" t="e">
        <f>1/J63</f>
        <v>#DIV/0!</v>
      </c>
      <c r="L63" s="5" t="e">
        <f>10^K63</f>
        <v>#DIV/0!</v>
      </c>
      <c r="M63" s="5" t="e">
        <f>1/L63</f>
        <v>#DIV/0!</v>
      </c>
      <c r="N63" s="5" t="e">
        <f>M63^0.5</f>
        <v>#DIV/0!</v>
      </c>
      <c r="O63" s="5" t="e">
        <f>N63-(2.51/(G63*J63))</f>
        <v>#DIV/0!</v>
      </c>
      <c r="P63" s="5" t="e">
        <f t="shared" ref="P63:P72" si="191">O63*3.7*$H$5</f>
        <v>#DIV/0!</v>
      </c>
      <c r="Q63" s="5">
        <f t="shared" ref="Q63:Q72" si="192">(R63/3600)/(PI()*($H$5/1000/2)^2)</f>
        <v>0.4056026250541378</v>
      </c>
      <c r="R63" s="47">
        <v>93.15</v>
      </c>
      <c r="S63" s="5"/>
      <c r="T63" s="47">
        <v>1.54</v>
      </c>
      <c r="U63" s="16"/>
      <c r="V63" s="26">
        <f>Q63*$H$5/1000/$BD$2</f>
        <v>115250.99515496437</v>
      </c>
      <c r="W63" s="16">
        <f>(T63/$BA$2*($H$5/1000)*2*$BA$2)/((Q63^2)*$AZ$2)</f>
        <v>4.8506660618770496</v>
      </c>
      <c r="X63" s="16">
        <f t="shared" ref="X63:X72" si="193">((3.7^2)/(10^(1/(W63^0.5))))^0.5*$H$5</f>
        <v>625.20705163250705</v>
      </c>
      <c r="Y63" s="16">
        <f>W63^0.5</f>
        <v>2.202422770922297</v>
      </c>
      <c r="Z63" s="16">
        <f>1/Y63</f>
        <v>0.45404543269466618</v>
      </c>
      <c r="AA63" s="16">
        <f>10^Z63</f>
        <v>2.8447586896144683</v>
      </c>
      <c r="AB63" s="16">
        <f>1/AA63</f>
        <v>0.35152366478420827</v>
      </c>
      <c r="AC63" s="16">
        <f>AB63^0.5</f>
        <v>0.59289431164770701</v>
      </c>
      <c r="AD63" s="16">
        <f>AC63-(2.51/(V63*Y63))</f>
        <v>0.59288442319481749</v>
      </c>
      <c r="AE63" s="16">
        <f t="shared" ref="AE63:AE72" si="194">AD63*3.7*$H$5</f>
        <v>625.19662425893512</v>
      </c>
      <c r="AF63" s="16">
        <f t="shared" ref="AF63:AF72" si="195">(AG63/3600)/(PI()*($H$5/1000/2)^2)</f>
        <v>0.39871238786803287</v>
      </c>
      <c r="AG63" s="47">
        <v>91.567599999999999</v>
      </c>
      <c r="AH63" s="5"/>
      <c r="AI63" s="47">
        <v>0.87086379999999997</v>
      </c>
      <c r="AJ63" s="5"/>
      <c r="AK63" s="29">
        <f>AF63*$H$5/1000/$BD$2</f>
        <v>113293.15108912201</v>
      </c>
      <c r="AL63" s="14">
        <f>(AI63/$BA$2*($H$5/1000)*2*$BA$2)/((AF63^2)*$AZ$2)</f>
        <v>2.8386572031111323</v>
      </c>
      <c r="AM63" s="14">
        <f t="shared" ref="AM63:AM72" si="196">((3.7^2)/(10^(1/(AL63^0.5))))^0.5*$H$5</f>
        <v>532.45266306534802</v>
      </c>
      <c r="AN63" s="14">
        <f>AL63^0.5</f>
        <v>1.6848315058518857</v>
      </c>
      <c r="AO63" s="14">
        <f>1/AN63</f>
        <v>0.59353116114384341</v>
      </c>
      <c r="AP63" s="14">
        <f>10^AO63</f>
        <v>3.9222128766533881</v>
      </c>
      <c r="AQ63" s="14">
        <f>1/AP63</f>
        <v>0.25495811457669931</v>
      </c>
      <c r="AR63" s="14">
        <f>AQ63^0.5</f>
        <v>0.5049337724659535</v>
      </c>
      <c r="AS63" s="14">
        <f>AR63-(2.51/(AK63*AN63))</f>
        <v>0.50492062283422245</v>
      </c>
      <c r="AT63" s="14">
        <f t="shared" ref="AT63:AT72" si="197">AS63*3.7*$H$5</f>
        <v>532.43879677868767</v>
      </c>
      <c r="AU63" s="14"/>
      <c r="AV63" s="14"/>
      <c r="AY63" s="36"/>
      <c r="AZ63" s="42"/>
      <c r="BA63" s="42"/>
      <c r="BC63" s="37"/>
      <c r="BD63" s="37"/>
    </row>
    <row r="64" spans="2:60" ht="15.75" x14ac:dyDescent="0.25">
      <c r="B64" s="24">
        <f t="shared" si="189"/>
        <v>0</v>
      </c>
      <c r="C64" s="47"/>
      <c r="D64" s="5"/>
      <c r="E64" s="47"/>
      <c r="F64" s="28"/>
      <c r="G64" s="26">
        <f t="shared" ref="G64:G72" si="198">B64*$H$5/1000/$BD$2</f>
        <v>0</v>
      </c>
      <c r="H64" s="5" t="e">
        <f t="shared" ref="H64:H72" si="199">(E64/$BA$2*($H$5/1000)*2*$BA$2)/((B64^2)*$AZ$2)</f>
        <v>#DIV/0!</v>
      </c>
      <c r="I64" s="5" t="e">
        <f t="shared" si="190"/>
        <v>#DIV/0!</v>
      </c>
      <c r="J64" s="5" t="e">
        <f t="shared" ref="J64:J72" si="200">H64^0.5</f>
        <v>#DIV/0!</v>
      </c>
      <c r="K64" s="5" t="e">
        <f t="shared" ref="K64:K72" si="201">1/J64</f>
        <v>#DIV/0!</v>
      </c>
      <c r="L64" s="5" t="e">
        <f t="shared" ref="L64:L72" si="202">10^K64</f>
        <v>#DIV/0!</v>
      </c>
      <c r="M64" s="5" t="e">
        <f t="shared" ref="M64:M72" si="203">1/L64</f>
        <v>#DIV/0!</v>
      </c>
      <c r="N64" s="5" t="e">
        <f t="shared" ref="N64:N72" si="204">M64^0.5</f>
        <v>#DIV/0!</v>
      </c>
      <c r="O64" s="5" t="e">
        <f t="shared" ref="O64:O72" si="205">N64-(2.51/(G64*J64))</f>
        <v>#DIV/0!</v>
      </c>
      <c r="P64" s="5" t="e">
        <f t="shared" si="191"/>
        <v>#DIV/0!</v>
      </c>
      <c r="Q64" s="5">
        <f t="shared" si="192"/>
        <v>0.4056026250541378</v>
      </c>
      <c r="R64" s="47">
        <v>93.15</v>
      </c>
      <c r="S64" s="5"/>
      <c r="T64" s="47">
        <v>1.54</v>
      </c>
      <c r="U64" s="16"/>
      <c r="V64" s="26">
        <f t="shared" ref="V64:V72" si="206">Q64*$H$5/1000/$BD$2</f>
        <v>115250.99515496437</v>
      </c>
      <c r="W64" s="16">
        <f t="shared" ref="W64:W72" si="207">(T64/$BA$2*($H$5/1000)*2*$BA$2)/((Q64^2)*$AZ$2)</f>
        <v>4.8506660618770496</v>
      </c>
      <c r="X64" s="16">
        <f t="shared" si="193"/>
        <v>625.20705163250705</v>
      </c>
      <c r="Y64" s="16">
        <f t="shared" ref="Y64:Y72" si="208">W64^0.5</f>
        <v>2.202422770922297</v>
      </c>
      <c r="Z64" s="16">
        <f t="shared" ref="Z64:Z72" si="209">1/Y64</f>
        <v>0.45404543269466618</v>
      </c>
      <c r="AA64" s="16">
        <f t="shared" ref="AA64:AA72" si="210">10^Z64</f>
        <v>2.8447586896144683</v>
      </c>
      <c r="AB64" s="16">
        <f t="shared" ref="AB64:AB72" si="211">1/AA64</f>
        <v>0.35152366478420827</v>
      </c>
      <c r="AC64" s="16">
        <f t="shared" ref="AC64:AC72" si="212">AB64^0.5</f>
        <v>0.59289431164770701</v>
      </c>
      <c r="AD64" s="16">
        <f t="shared" ref="AD64:AD72" si="213">AC64-(2.51/(V64*Y64))</f>
        <v>0.59288442319481749</v>
      </c>
      <c r="AE64" s="16">
        <f t="shared" si="194"/>
        <v>625.19662425893512</v>
      </c>
      <c r="AF64" s="16">
        <f t="shared" si="195"/>
        <v>0.39971026176587138</v>
      </c>
      <c r="AG64" s="47">
        <v>91.796769999999995</v>
      </c>
      <c r="AH64" s="5"/>
      <c r="AI64" s="47">
        <v>0.9937319</v>
      </c>
      <c r="AJ64" s="5"/>
      <c r="AK64" s="29">
        <f t="shared" ref="AK64:AK72" si="214">AF64*$H$5/1000/$BD$2</f>
        <v>113576.6945197142</v>
      </c>
      <c r="AL64" s="14">
        <f t="shared" ref="AL64:AL72" si="215">(AI64/$BA$2*($H$5/1000)*2*$BA$2)/((AF64^2)*$AZ$2)</f>
        <v>3.2230037130330804</v>
      </c>
      <c r="AM64" s="14">
        <f t="shared" si="196"/>
        <v>555.31237076203627</v>
      </c>
      <c r="AN64" s="14">
        <f t="shared" ref="AN64:AN72" si="216">AL64^0.5</f>
        <v>1.7952726013152098</v>
      </c>
      <c r="AO64" s="14">
        <f t="shared" ref="AO64:AO72" si="217">1/AN64</f>
        <v>0.55701847132708637</v>
      </c>
      <c r="AP64" s="14">
        <f t="shared" ref="AP64:AP72" si="218">10^AO64</f>
        <v>3.6059397940737572</v>
      </c>
      <c r="AQ64" s="14">
        <f t="shared" ref="AQ64:AQ72" si="219">1/AP64</f>
        <v>0.27732021528575351</v>
      </c>
      <c r="AR64" s="14">
        <f t="shared" ref="AR64:AR72" si="220">AQ64^0.5</f>
        <v>0.52661201589571949</v>
      </c>
      <c r="AS64" s="14">
        <f t="shared" ref="AS64:AS72" si="221">AR64-(2.51/(AK64*AN64))</f>
        <v>0.5265997060079477</v>
      </c>
      <c r="AT64" s="14">
        <f t="shared" si="197"/>
        <v>555.29938998538091</v>
      </c>
      <c r="AU64" s="14"/>
      <c r="AV64" s="14">
        <v>91.567599999999999</v>
      </c>
      <c r="AX64" s="1">
        <v>0.87086379999999997</v>
      </c>
      <c r="AY64" s="36"/>
      <c r="AZ64" s="42"/>
      <c r="BA64" s="42"/>
      <c r="BC64" s="37"/>
      <c r="BD64" s="37"/>
    </row>
    <row r="65" spans="1:60" ht="15.75" x14ac:dyDescent="0.25">
      <c r="B65" s="24">
        <f t="shared" si="189"/>
        <v>0</v>
      </c>
      <c r="C65" s="47"/>
      <c r="D65" s="5"/>
      <c r="E65" s="47"/>
      <c r="F65" s="28"/>
      <c r="G65" s="26">
        <f t="shared" si="198"/>
        <v>0</v>
      </c>
      <c r="H65" s="5" t="e">
        <f t="shared" si="199"/>
        <v>#DIV/0!</v>
      </c>
      <c r="I65" s="5" t="e">
        <f t="shared" si="190"/>
        <v>#DIV/0!</v>
      </c>
      <c r="J65" s="5" t="e">
        <f t="shared" si="200"/>
        <v>#DIV/0!</v>
      </c>
      <c r="K65" s="5" t="e">
        <f t="shared" si="201"/>
        <v>#DIV/0!</v>
      </c>
      <c r="L65" s="5" t="e">
        <f t="shared" si="202"/>
        <v>#DIV/0!</v>
      </c>
      <c r="M65" s="5" t="e">
        <f t="shared" si="203"/>
        <v>#DIV/0!</v>
      </c>
      <c r="N65" s="5" t="e">
        <f t="shared" si="204"/>
        <v>#DIV/0!</v>
      </c>
      <c r="O65" s="5" t="e">
        <f t="shared" si="205"/>
        <v>#DIV/0!</v>
      </c>
      <c r="P65" s="5" t="e">
        <f t="shared" si="191"/>
        <v>#DIV/0!</v>
      </c>
      <c r="Q65" s="5">
        <f t="shared" si="192"/>
        <v>0.7888241712808115</v>
      </c>
      <c r="R65" s="47">
        <v>181.16</v>
      </c>
      <c r="S65" s="5"/>
      <c r="T65" s="47">
        <v>2.29</v>
      </c>
      <c r="U65" s="16"/>
      <c r="V65" s="26">
        <f t="shared" si="206"/>
        <v>224142.46143073906</v>
      </c>
      <c r="W65" s="16">
        <f t="shared" si="207"/>
        <v>1.9070287179341383</v>
      </c>
      <c r="X65" s="16">
        <f t="shared" si="193"/>
        <v>458.11820074395098</v>
      </c>
      <c r="Y65" s="16">
        <f t="shared" si="208"/>
        <v>1.3809521055902476</v>
      </c>
      <c r="Z65" s="16">
        <f t="shared" si="209"/>
        <v>0.7241380754277349</v>
      </c>
      <c r="AA65" s="16">
        <f t="shared" si="210"/>
        <v>5.2983186678564858</v>
      </c>
      <c r="AB65" s="16">
        <f t="shared" si="211"/>
        <v>0.1887391194619415</v>
      </c>
      <c r="AC65" s="16">
        <f t="shared" si="212"/>
        <v>0.43444115765192126</v>
      </c>
      <c r="AD65" s="16">
        <f t="shared" si="213"/>
        <v>0.4344330485834399</v>
      </c>
      <c r="AE65" s="16">
        <f t="shared" si="194"/>
        <v>458.10964973123743</v>
      </c>
      <c r="AF65" s="16">
        <f t="shared" si="195"/>
        <v>0.78506336626460904</v>
      </c>
      <c r="AG65" s="47">
        <v>180.2963</v>
      </c>
      <c r="AH65" s="5"/>
      <c r="AI65" s="47">
        <v>2.3915229999999998</v>
      </c>
      <c r="AJ65" s="5"/>
      <c r="AK65" s="29">
        <f t="shared" si="214"/>
        <v>223073.8378717982</v>
      </c>
      <c r="AL65" s="14">
        <f t="shared" si="215"/>
        <v>2.0107001399090176</v>
      </c>
      <c r="AM65" s="14">
        <f t="shared" si="196"/>
        <v>468.20406833801877</v>
      </c>
      <c r="AN65" s="14">
        <f t="shared" si="216"/>
        <v>1.4179915866848498</v>
      </c>
      <c r="AO65" s="14">
        <f t="shared" si="217"/>
        <v>0.70522280201811316</v>
      </c>
      <c r="AP65" s="14">
        <f t="shared" si="218"/>
        <v>5.0725087168378407</v>
      </c>
      <c r="AQ65" s="14">
        <f t="shared" si="219"/>
        <v>0.19714111021250086</v>
      </c>
      <c r="AR65" s="14">
        <f t="shared" si="220"/>
        <v>0.44400575470651377</v>
      </c>
      <c r="AS65" s="14">
        <f t="shared" si="221"/>
        <v>0.44399781962434565</v>
      </c>
      <c r="AT65" s="14">
        <f t="shared" si="197"/>
        <v>468.1957007938725</v>
      </c>
      <c r="AU65" s="14"/>
      <c r="AV65" s="14">
        <v>91.796769999999995</v>
      </c>
      <c r="AX65" s="1">
        <v>0.9937319</v>
      </c>
      <c r="AY65" s="36"/>
      <c r="AZ65" s="42"/>
      <c r="BA65" s="42"/>
      <c r="BB65" s="23"/>
      <c r="BC65" s="34"/>
      <c r="BD65" s="34"/>
      <c r="BE65" s="23"/>
      <c r="BF65" s="23"/>
      <c r="BG65" s="23"/>
      <c r="BH65" s="23"/>
    </row>
    <row r="66" spans="1:60" x14ac:dyDescent="0.2">
      <c r="B66" s="24">
        <f t="shared" si="189"/>
        <v>0</v>
      </c>
      <c r="C66" s="47"/>
      <c r="D66" s="5"/>
      <c r="E66" s="47"/>
      <c r="F66" s="28"/>
      <c r="G66" s="26">
        <f t="shared" si="198"/>
        <v>0</v>
      </c>
      <c r="H66" s="5" t="e">
        <f t="shared" si="199"/>
        <v>#DIV/0!</v>
      </c>
      <c r="I66" s="5" t="e">
        <f t="shared" si="190"/>
        <v>#DIV/0!</v>
      </c>
      <c r="J66" s="5" t="e">
        <f t="shared" si="200"/>
        <v>#DIV/0!</v>
      </c>
      <c r="K66" s="5" t="e">
        <f t="shared" si="201"/>
        <v>#DIV/0!</v>
      </c>
      <c r="L66" s="5" t="e">
        <f t="shared" si="202"/>
        <v>#DIV/0!</v>
      </c>
      <c r="M66" s="5" t="e">
        <f t="shared" si="203"/>
        <v>#DIV/0!</v>
      </c>
      <c r="N66" s="5" t="e">
        <f t="shared" si="204"/>
        <v>#DIV/0!</v>
      </c>
      <c r="O66" s="5" t="e">
        <f t="shared" si="205"/>
        <v>#DIV/0!</v>
      </c>
      <c r="P66" s="5" t="e">
        <f t="shared" si="191"/>
        <v>#DIV/0!</v>
      </c>
      <c r="Q66" s="5">
        <f t="shared" si="192"/>
        <v>2.3491859607402881</v>
      </c>
      <c r="R66" s="47">
        <v>539.51</v>
      </c>
      <c r="S66" s="5"/>
      <c r="T66" s="47">
        <v>3.24</v>
      </c>
      <c r="U66" s="16"/>
      <c r="V66" s="26">
        <f t="shared" si="206"/>
        <v>667515.45245362131</v>
      </c>
      <c r="W66" s="16">
        <f t="shared" si="207"/>
        <v>0.30422323996731188</v>
      </c>
      <c r="X66" s="16">
        <f t="shared" si="193"/>
        <v>130.77780851121679</v>
      </c>
      <c r="Y66" s="16">
        <f t="shared" si="208"/>
        <v>0.55156435704939444</v>
      </c>
      <c r="Z66" s="16">
        <f t="shared" si="209"/>
        <v>1.8130250572200166</v>
      </c>
      <c r="AA66" s="16">
        <f t="shared" si="210"/>
        <v>65.016720155570781</v>
      </c>
      <c r="AB66" s="16">
        <f t="shared" si="211"/>
        <v>1.5380658969065479E-2</v>
      </c>
      <c r="AC66" s="16">
        <f t="shared" si="212"/>
        <v>0.12401878474273757</v>
      </c>
      <c r="AD66" s="16">
        <f t="shared" si="213"/>
        <v>0.12401196738311407</v>
      </c>
      <c r="AE66" s="16">
        <f t="shared" si="194"/>
        <v>130.77061960549381</v>
      </c>
      <c r="AF66" s="16">
        <f t="shared" si="195"/>
        <v>0.78506336626460904</v>
      </c>
      <c r="AG66" s="47">
        <v>180.2963</v>
      </c>
      <c r="AH66" s="5"/>
      <c r="AI66" s="47">
        <v>2.3915229999999998</v>
      </c>
      <c r="AJ66" s="5"/>
      <c r="AK66" s="29">
        <f t="shared" si="214"/>
        <v>223073.8378717982</v>
      </c>
      <c r="AL66" s="14">
        <f t="shared" si="215"/>
        <v>2.0107001399090176</v>
      </c>
      <c r="AM66" s="14">
        <f t="shared" si="196"/>
        <v>468.20406833801877</v>
      </c>
      <c r="AN66" s="14">
        <f t="shared" si="216"/>
        <v>1.4179915866848498</v>
      </c>
      <c r="AO66" s="14">
        <f t="shared" si="217"/>
        <v>0.70522280201811316</v>
      </c>
      <c r="AP66" s="14">
        <f t="shared" si="218"/>
        <v>5.0725087168378407</v>
      </c>
      <c r="AQ66" s="14">
        <f t="shared" si="219"/>
        <v>0.19714111021250086</v>
      </c>
      <c r="AR66" s="14">
        <f t="shared" si="220"/>
        <v>0.44400575470651377</v>
      </c>
      <c r="AS66" s="14">
        <f t="shared" si="221"/>
        <v>0.44399781962434565</v>
      </c>
      <c r="AT66" s="14">
        <f t="shared" si="197"/>
        <v>468.1957007938725</v>
      </c>
      <c r="AU66" s="14"/>
      <c r="AV66" s="14">
        <v>180.2963</v>
      </c>
      <c r="AX66" s="1">
        <v>2.3915229999999998</v>
      </c>
      <c r="AY66" s="23"/>
      <c r="AZ66" s="23"/>
      <c r="BA66" s="23"/>
      <c r="BB66" s="23"/>
      <c r="BC66" s="23"/>
      <c r="BD66" s="23"/>
      <c r="BE66" s="23"/>
      <c r="BF66" s="23"/>
      <c r="BG66" s="23"/>
      <c r="BH66" s="23"/>
    </row>
    <row r="67" spans="1:60" x14ac:dyDescent="0.2">
      <c r="B67" s="24">
        <f t="shared" si="189"/>
        <v>0</v>
      </c>
      <c r="C67" s="47"/>
      <c r="D67" s="5"/>
      <c r="E67" s="47"/>
      <c r="F67" s="28"/>
      <c r="G67" s="26">
        <f t="shared" si="198"/>
        <v>0</v>
      </c>
      <c r="H67" s="5" t="e">
        <f t="shared" si="199"/>
        <v>#DIV/0!</v>
      </c>
      <c r="I67" s="5" t="e">
        <f t="shared" si="190"/>
        <v>#DIV/0!</v>
      </c>
      <c r="J67" s="5" t="e">
        <f t="shared" si="200"/>
        <v>#DIV/0!</v>
      </c>
      <c r="K67" s="5" t="e">
        <f t="shared" si="201"/>
        <v>#DIV/0!</v>
      </c>
      <c r="L67" s="5" t="e">
        <f t="shared" si="202"/>
        <v>#DIV/0!</v>
      </c>
      <c r="M67" s="5" t="e">
        <f t="shared" si="203"/>
        <v>#DIV/0!</v>
      </c>
      <c r="N67" s="5" t="e">
        <f t="shared" si="204"/>
        <v>#DIV/0!</v>
      </c>
      <c r="O67" s="5" t="e">
        <f t="shared" si="205"/>
        <v>#DIV/0!</v>
      </c>
      <c r="P67" s="5" t="e">
        <f t="shared" si="191"/>
        <v>#DIV/0!</v>
      </c>
      <c r="Q67" s="5">
        <f t="shared" si="192"/>
        <v>2.3491859607402881</v>
      </c>
      <c r="R67" s="47">
        <v>539.51</v>
      </c>
      <c r="S67" s="5"/>
      <c r="T67" s="47">
        <v>3.24</v>
      </c>
      <c r="U67" s="16"/>
      <c r="V67" s="26">
        <f t="shared" si="206"/>
        <v>667515.45245362131</v>
      </c>
      <c r="W67" s="16">
        <f t="shared" si="207"/>
        <v>0.30422323996731188</v>
      </c>
      <c r="X67" s="16">
        <f t="shared" si="193"/>
        <v>130.77780851121679</v>
      </c>
      <c r="Y67" s="16">
        <f t="shared" si="208"/>
        <v>0.55156435704939444</v>
      </c>
      <c r="Z67" s="16">
        <f t="shared" si="209"/>
        <v>1.8130250572200166</v>
      </c>
      <c r="AA67" s="16">
        <f t="shared" si="210"/>
        <v>65.016720155570781</v>
      </c>
      <c r="AB67" s="16">
        <f t="shared" si="211"/>
        <v>1.5380658969065479E-2</v>
      </c>
      <c r="AC67" s="16">
        <f t="shared" si="212"/>
        <v>0.12401878474273757</v>
      </c>
      <c r="AD67" s="16">
        <f t="shared" si="213"/>
        <v>0.12401196738311407</v>
      </c>
      <c r="AE67" s="16">
        <f t="shared" si="194"/>
        <v>130.77061960549381</v>
      </c>
      <c r="AF67" s="16">
        <f t="shared" si="195"/>
        <v>0</v>
      </c>
      <c r="AG67" s="47"/>
      <c r="AH67" s="5"/>
      <c r="AI67" s="47"/>
      <c r="AJ67" s="5"/>
      <c r="AK67" s="29"/>
      <c r="AL67" s="14"/>
      <c r="AM67" s="14"/>
      <c r="AN67" s="14"/>
      <c r="AO67" s="14"/>
      <c r="AP67" s="14"/>
      <c r="AQ67" s="14"/>
      <c r="AR67" s="14"/>
      <c r="AS67" s="14"/>
      <c r="AT67" s="14"/>
      <c r="AU67" s="14"/>
      <c r="AV67" s="14">
        <v>361.7441</v>
      </c>
      <c r="AX67" s="1">
        <v>2.5833689999999998</v>
      </c>
    </row>
    <row r="68" spans="1:60" x14ac:dyDescent="0.2">
      <c r="B68" s="24">
        <f t="shared" si="189"/>
        <v>0</v>
      </c>
      <c r="C68" s="47"/>
      <c r="D68" s="5"/>
      <c r="E68" s="47"/>
      <c r="F68" s="28"/>
      <c r="G68" s="26">
        <f t="shared" si="198"/>
        <v>0</v>
      </c>
      <c r="H68" s="5" t="e">
        <f t="shared" si="199"/>
        <v>#DIV/0!</v>
      </c>
      <c r="I68" s="5" t="e">
        <f t="shared" si="190"/>
        <v>#DIV/0!</v>
      </c>
      <c r="J68" s="5" t="e">
        <f t="shared" si="200"/>
        <v>#DIV/0!</v>
      </c>
      <c r="K68" s="5" t="e">
        <f t="shared" si="201"/>
        <v>#DIV/0!</v>
      </c>
      <c r="L68" s="5" t="e">
        <f t="shared" si="202"/>
        <v>#DIV/0!</v>
      </c>
      <c r="M68" s="5" t="e">
        <f t="shared" si="203"/>
        <v>#DIV/0!</v>
      </c>
      <c r="N68" s="5" t="e">
        <f t="shared" si="204"/>
        <v>#DIV/0!</v>
      </c>
      <c r="O68" s="5" t="e">
        <f t="shared" si="205"/>
        <v>#DIV/0!</v>
      </c>
      <c r="P68" s="5" t="e">
        <f t="shared" si="191"/>
        <v>#DIV/0!</v>
      </c>
      <c r="Q68" s="5">
        <f t="shared" si="192"/>
        <v>3.0493131328546714</v>
      </c>
      <c r="R68" s="47">
        <v>700.3</v>
      </c>
      <c r="S68" s="5"/>
      <c r="T68" s="47">
        <v>3.98</v>
      </c>
      <c r="U68" s="16"/>
      <c r="V68" s="26">
        <f t="shared" si="206"/>
        <v>866454.87822889478</v>
      </c>
      <c r="W68" s="16">
        <f t="shared" si="207"/>
        <v>0.22179982246577992</v>
      </c>
      <c r="X68" s="16">
        <f t="shared" si="193"/>
        <v>91.490694033206879</v>
      </c>
      <c r="Y68" s="16">
        <f t="shared" si="208"/>
        <v>0.47095628509000698</v>
      </c>
      <c r="Z68" s="16">
        <f t="shared" si="209"/>
        <v>2.1233393239648235</v>
      </c>
      <c r="AA68" s="16">
        <f t="shared" si="210"/>
        <v>132.84319858937391</v>
      </c>
      <c r="AB68" s="16">
        <f t="shared" si="211"/>
        <v>7.5276718011816207E-3</v>
      </c>
      <c r="AC68" s="16">
        <f t="shared" si="212"/>
        <v>8.676215650375238E-2</v>
      </c>
      <c r="AD68" s="16">
        <f t="shared" si="213"/>
        <v>8.675600548326988E-2</v>
      </c>
      <c r="AE68" s="16">
        <f t="shared" si="194"/>
        <v>91.484207782108086</v>
      </c>
      <c r="AF68" s="16">
        <f t="shared" si="195"/>
        <v>0</v>
      </c>
      <c r="AG68" s="47"/>
      <c r="AH68" s="5"/>
      <c r="AI68" s="47"/>
      <c r="AJ68" s="5"/>
      <c r="AK68" s="29"/>
      <c r="AL68" s="14"/>
      <c r="AM68" s="14"/>
      <c r="AN68" s="14"/>
      <c r="AO68" s="14"/>
      <c r="AP68" s="14"/>
      <c r="AQ68" s="14"/>
      <c r="AR68" s="14"/>
      <c r="AS68" s="14"/>
      <c r="AT68" s="14"/>
      <c r="AU68" s="14"/>
      <c r="AV68" s="14">
        <v>540.74130000000002</v>
      </c>
      <c r="AX68" s="1">
        <v>3.772805</v>
      </c>
    </row>
    <row r="69" spans="1:60" ht="15.75" customHeight="1" x14ac:dyDescent="0.2">
      <c r="B69" s="24">
        <f t="shared" si="189"/>
        <v>0</v>
      </c>
      <c r="C69" s="47"/>
      <c r="D69" s="5"/>
      <c r="E69" s="47"/>
      <c r="F69" s="28"/>
      <c r="G69" s="26">
        <f t="shared" si="198"/>
        <v>0</v>
      </c>
      <c r="H69" s="5" t="e">
        <f t="shared" si="199"/>
        <v>#DIV/0!</v>
      </c>
      <c r="I69" s="5" t="e">
        <f t="shared" si="190"/>
        <v>#DIV/0!</v>
      </c>
      <c r="J69" s="5" t="e">
        <f t="shared" si="200"/>
        <v>#DIV/0!</v>
      </c>
      <c r="K69" s="5" t="e">
        <f t="shared" si="201"/>
        <v>#DIV/0!</v>
      </c>
      <c r="L69" s="5" t="e">
        <f t="shared" si="202"/>
        <v>#DIV/0!</v>
      </c>
      <c r="M69" s="5" t="e">
        <f t="shared" si="203"/>
        <v>#DIV/0!</v>
      </c>
      <c r="N69" s="5" t="e">
        <f t="shared" si="204"/>
        <v>#DIV/0!</v>
      </c>
      <c r="O69" s="5" t="e">
        <f t="shared" si="205"/>
        <v>#DIV/0!</v>
      </c>
      <c r="P69" s="5" t="e">
        <f t="shared" si="191"/>
        <v>#DIV/0!</v>
      </c>
      <c r="Q69" s="5">
        <f t="shared" si="192"/>
        <v>3.0493131328546714</v>
      </c>
      <c r="R69" s="47">
        <v>700.3</v>
      </c>
      <c r="S69" s="5"/>
      <c r="T69" s="47">
        <v>3.98</v>
      </c>
      <c r="U69" s="16"/>
      <c r="V69" s="26">
        <f t="shared" si="206"/>
        <v>866454.87822889478</v>
      </c>
      <c r="W69" s="16">
        <f t="shared" si="207"/>
        <v>0.22179982246577992</v>
      </c>
      <c r="X69" s="16">
        <f t="shared" si="193"/>
        <v>91.490694033206879</v>
      </c>
      <c r="Y69" s="16">
        <f t="shared" si="208"/>
        <v>0.47095628509000698</v>
      </c>
      <c r="Z69" s="16">
        <f t="shared" si="209"/>
        <v>2.1233393239648235</v>
      </c>
      <c r="AA69" s="16">
        <f t="shared" si="210"/>
        <v>132.84319858937391</v>
      </c>
      <c r="AB69" s="16">
        <f t="shared" si="211"/>
        <v>7.5276718011816207E-3</v>
      </c>
      <c r="AC69" s="16">
        <f t="shared" si="212"/>
        <v>8.676215650375238E-2</v>
      </c>
      <c r="AD69" s="16">
        <f t="shared" si="213"/>
        <v>8.675600548326988E-2</v>
      </c>
      <c r="AE69" s="16">
        <f t="shared" si="194"/>
        <v>91.484207782108086</v>
      </c>
      <c r="AF69" s="16">
        <f t="shared" si="195"/>
        <v>1.5751407037879388</v>
      </c>
      <c r="AG69" s="47">
        <v>361.7441</v>
      </c>
      <c r="AH69" s="5"/>
      <c r="AI69" s="47">
        <v>2.5833689999999998</v>
      </c>
      <c r="AJ69" s="5"/>
      <c r="AK69" s="29">
        <f t="shared" si="214"/>
        <v>447572.38342927472</v>
      </c>
      <c r="AL69" s="14">
        <f t="shared" si="215"/>
        <v>0.53954777447761859</v>
      </c>
      <c r="AM69" s="14">
        <f t="shared" si="196"/>
        <v>219.96201005686143</v>
      </c>
      <c r="AN69" s="14">
        <f t="shared" si="216"/>
        <v>0.73453915789263313</v>
      </c>
      <c r="AO69" s="14">
        <f t="shared" si="217"/>
        <v>1.361397808755308</v>
      </c>
      <c r="AP69" s="14">
        <f t="shared" si="218"/>
        <v>22.98252857459573</v>
      </c>
      <c r="AQ69" s="14">
        <f t="shared" si="219"/>
        <v>4.3511313246244507E-2</v>
      </c>
      <c r="AR69" s="14">
        <f t="shared" si="220"/>
        <v>0.20859365581494685</v>
      </c>
      <c r="AS69" s="14">
        <f t="shared" si="221"/>
        <v>0.20858602105322677</v>
      </c>
      <c r="AT69" s="14">
        <f t="shared" si="197"/>
        <v>219.95395920062762</v>
      </c>
      <c r="AU69" s="14"/>
      <c r="AV69" s="14">
        <v>692.9796</v>
      </c>
      <c r="AX69" s="1">
        <v>6.8034396275644253</v>
      </c>
    </row>
    <row r="70" spans="1:60" x14ac:dyDescent="0.2">
      <c r="B70" s="24">
        <f t="shared" si="189"/>
        <v>0</v>
      </c>
      <c r="C70" s="47"/>
      <c r="D70" s="5"/>
      <c r="E70" s="47"/>
      <c r="F70" s="28"/>
      <c r="G70" s="26">
        <f t="shared" si="198"/>
        <v>0</v>
      </c>
      <c r="H70" s="5" t="e">
        <f t="shared" si="199"/>
        <v>#DIV/0!</v>
      </c>
      <c r="I70" s="5" t="e">
        <f t="shared" si="190"/>
        <v>#DIV/0!</v>
      </c>
      <c r="J70" s="5" t="e">
        <f t="shared" si="200"/>
        <v>#DIV/0!</v>
      </c>
      <c r="K70" s="5" t="e">
        <f t="shared" si="201"/>
        <v>#DIV/0!</v>
      </c>
      <c r="L70" s="5" t="e">
        <f t="shared" si="202"/>
        <v>#DIV/0!</v>
      </c>
      <c r="M70" s="5" t="e">
        <f t="shared" si="203"/>
        <v>#DIV/0!</v>
      </c>
      <c r="N70" s="5" t="e">
        <f t="shared" si="204"/>
        <v>#DIV/0!</v>
      </c>
      <c r="O70" s="5" t="e">
        <f t="shared" si="205"/>
        <v>#DIV/0!</v>
      </c>
      <c r="P70" s="5" t="e">
        <f t="shared" si="191"/>
        <v>#DIV/0!</v>
      </c>
      <c r="Q70" s="5">
        <f t="shared" si="192"/>
        <v>3.9442514852688095</v>
      </c>
      <c r="R70" s="47">
        <v>905.83</v>
      </c>
      <c r="S70" s="5"/>
      <c r="T70" s="47">
        <v>6.37</v>
      </c>
      <c r="U70" s="16"/>
      <c r="V70" s="26">
        <f t="shared" si="206"/>
        <v>1120749.4250265311</v>
      </c>
      <c r="W70" s="16">
        <f t="shared" si="207"/>
        <v>0.21217411890498167</v>
      </c>
      <c r="X70" s="16">
        <f t="shared" si="193"/>
        <v>86.608725656940251</v>
      </c>
      <c r="Y70" s="16">
        <f t="shared" si="208"/>
        <v>0.46062361956914638</v>
      </c>
      <c r="Z70" s="16">
        <f t="shared" si="209"/>
        <v>2.1709698710964282</v>
      </c>
      <c r="AA70" s="16">
        <f t="shared" si="210"/>
        <v>148.24152399637842</v>
      </c>
      <c r="AB70" s="16">
        <f t="shared" si="211"/>
        <v>6.745748242742231E-3</v>
      </c>
      <c r="AC70" s="16">
        <f t="shared" si="212"/>
        <v>8.2132504179175198E-2</v>
      </c>
      <c r="AD70" s="16">
        <f t="shared" si="213"/>
        <v>8.2127642133962619E-2</v>
      </c>
      <c r="AE70" s="16">
        <f t="shared" si="194"/>
        <v>86.603598630263576</v>
      </c>
      <c r="AF70" s="16">
        <f t="shared" si="195"/>
        <v>1.5751407037879388</v>
      </c>
      <c r="AG70" s="47">
        <v>361.7441</v>
      </c>
      <c r="AH70" s="5"/>
      <c r="AI70" s="47">
        <v>2.5833689999999998</v>
      </c>
      <c r="AJ70" s="5"/>
      <c r="AK70" s="29">
        <f t="shared" si="214"/>
        <v>447572.38342927472</v>
      </c>
      <c r="AL70" s="14">
        <f t="shared" si="215"/>
        <v>0.53954777447761859</v>
      </c>
      <c r="AM70" s="14">
        <f t="shared" si="196"/>
        <v>219.96201005686143</v>
      </c>
      <c r="AN70" s="14">
        <f t="shared" si="216"/>
        <v>0.73453915789263313</v>
      </c>
      <c r="AO70" s="14">
        <f t="shared" si="217"/>
        <v>1.361397808755308</v>
      </c>
      <c r="AP70" s="14">
        <f t="shared" si="218"/>
        <v>22.98252857459573</v>
      </c>
      <c r="AQ70" s="14">
        <f t="shared" si="219"/>
        <v>4.3511313246244507E-2</v>
      </c>
      <c r="AR70" s="14">
        <f t="shared" si="220"/>
        <v>0.20859365581494685</v>
      </c>
      <c r="AS70" s="14">
        <f t="shared" si="221"/>
        <v>0.20858602105322677</v>
      </c>
      <c r="AT70" s="14">
        <f t="shared" si="197"/>
        <v>219.95395920062762</v>
      </c>
      <c r="AU70" s="14"/>
      <c r="AV70" s="14">
        <v>900.74630000000002</v>
      </c>
      <c r="AX70" s="1">
        <v>8.2257200795421497</v>
      </c>
    </row>
    <row r="71" spans="1:60" x14ac:dyDescent="0.2">
      <c r="B71" s="24">
        <f t="shared" si="189"/>
        <v>0</v>
      </c>
      <c r="C71" s="47"/>
      <c r="D71" s="5"/>
      <c r="E71" s="47"/>
      <c r="F71" s="28"/>
      <c r="G71" s="26">
        <f t="shared" si="198"/>
        <v>0</v>
      </c>
      <c r="H71" s="5" t="e">
        <f t="shared" si="199"/>
        <v>#DIV/0!</v>
      </c>
      <c r="I71" s="5" t="e">
        <f t="shared" si="190"/>
        <v>#DIV/0!</v>
      </c>
      <c r="J71" s="5" t="e">
        <f t="shared" si="200"/>
        <v>#DIV/0!</v>
      </c>
      <c r="K71" s="5" t="e">
        <f t="shared" si="201"/>
        <v>#DIV/0!</v>
      </c>
      <c r="L71" s="5" t="e">
        <f t="shared" si="202"/>
        <v>#DIV/0!</v>
      </c>
      <c r="M71" s="5" t="e">
        <f t="shared" si="203"/>
        <v>#DIV/0!</v>
      </c>
      <c r="N71" s="5" t="e">
        <f t="shared" si="204"/>
        <v>#DIV/0!</v>
      </c>
      <c r="O71" s="5" t="e">
        <f t="shared" si="205"/>
        <v>#DIV/0!</v>
      </c>
      <c r="P71" s="5" t="e">
        <f t="shared" si="191"/>
        <v>#DIV/0!</v>
      </c>
      <c r="Q71" s="5">
        <f t="shared" si="192"/>
        <v>3.9442514852688095</v>
      </c>
      <c r="R71" s="47">
        <v>905.83</v>
      </c>
      <c r="S71" s="5"/>
      <c r="T71" s="47">
        <v>6.37</v>
      </c>
      <c r="U71" s="5"/>
      <c r="V71" s="26">
        <f t="shared" si="206"/>
        <v>1120749.4250265311</v>
      </c>
      <c r="W71" s="16">
        <f t="shared" si="207"/>
        <v>0.21217411890498167</v>
      </c>
      <c r="X71" s="16">
        <f t="shared" si="193"/>
        <v>86.608725656940251</v>
      </c>
      <c r="Y71" s="16">
        <f t="shared" si="208"/>
        <v>0.46062361956914638</v>
      </c>
      <c r="Z71" s="16">
        <f t="shared" si="209"/>
        <v>2.1709698710964282</v>
      </c>
      <c r="AA71" s="16">
        <f t="shared" si="210"/>
        <v>148.24152399637842</v>
      </c>
      <c r="AB71" s="16">
        <f t="shared" si="211"/>
        <v>6.745748242742231E-3</v>
      </c>
      <c r="AC71" s="16">
        <f t="shared" si="212"/>
        <v>8.2132504179175198E-2</v>
      </c>
      <c r="AD71" s="16">
        <f t="shared" si="213"/>
        <v>8.2127642133962619E-2</v>
      </c>
      <c r="AE71" s="16">
        <f t="shared" si="194"/>
        <v>86.603598630263576</v>
      </c>
      <c r="AF71" s="5">
        <f t="shared" si="195"/>
        <v>2.3600281565146823</v>
      </c>
      <c r="AG71" s="47">
        <v>542</v>
      </c>
      <c r="AH71" s="5"/>
      <c r="AI71" s="47">
        <v>3.76</v>
      </c>
      <c r="AJ71" s="5"/>
      <c r="AK71" s="29">
        <f t="shared" si="214"/>
        <v>670596.23589898751</v>
      </c>
      <c r="AL71" s="14">
        <f t="shared" si="215"/>
        <v>0.34981275969693609</v>
      </c>
      <c r="AM71" s="14">
        <f t="shared" si="196"/>
        <v>150.54494298885547</v>
      </c>
      <c r="AN71" s="14">
        <f t="shared" si="216"/>
        <v>0.5914497102010754</v>
      </c>
      <c r="AO71" s="14">
        <f t="shared" si="217"/>
        <v>1.690760825058194</v>
      </c>
      <c r="AP71" s="14">
        <f t="shared" si="218"/>
        <v>49.063759747605559</v>
      </c>
      <c r="AQ71" s="14">
        <f t="shared" si="219"/>
        <v>2.038164227821539E-2</v>
      </c>
      <c r="AR71" s="14">
        <f t="shared" si="220"/>
        <v>0.14276428922603646</v>
      </c>
      <c r="AS71" s="14">
        <f t="shared" si="221"/>
        <v>0.14275796081343328</v>
      </c>
      <c r="AT71" s="14">
        <f t="shared" si="197"/>
        <v>150.53826967776538</v>
      </c>
      <c r="AU71" s="14"/>
      <c r="AV71" s="14">
        <v>1199.047</v>
      </c>
      <c r="AX71" s="1">
        <v>12.185809491134403</v>
      </c>
    </row>
    <row r="72" spans="1:60" x14ac:dyDescent="0.2">
      <c r="B72" s="24">
        <f t="shared" si="189"/>
        <v>0</v>
      </c>
      <c r="C72" s="47"/>
      <c r="D72" s="5"/>
      <c r="E72" s="47"/>
      <c r="F72" s="28"/>
      <c r="G72" s="26">
        <f t="shared" si="198"/>
        <v>0</v>
      </c>
      <c r="H72" s="5" t="e">
        <f t="shared" si="199"/>
        <v>#DIV/0!</v>
      </c>
      <c r="I72" s="5" t="e">
        <f t="shared" si="190"/>
        <v>#DIV/0!</v>
      </c>
      <c r="J72" s="5" t="e">
        <f t="shared" si="200"/>
        <v>#DIV/0!</v>
      </c>
      <c r="K72" s="5" t="e">
        <f t="shared" si="201"/>
        <v>#DIV/0!</v>
      </c>
      <c r="L72" s="5" t="e">
        <f t="shared" si="202"/>
        <v>#DIV/0!</v>
      </c>
      <c r="M72" s="5" t="e">
        <f t="shared" si="203"/>
        <v>#DIV/0!</v>
      </c>
      <c r="N72" s="5" t="e">
        <f t="shared" si="204"/>
        <v>#DIV/0!</v>
      </c>
      <c r="O72" s="5" t="e">
        <f t="shared" si="205"/>
        <v>#DIV/0!</v>
      </c>
      <c r="P72" s="5" t="e">
        <f t="shared" si="191"/>
        <v>#DIV/0!</v>
      </c>
      <c r="Q72" s="5">
        <f t="shared" si="192"/>
        <v>5.2601631258228725</v>
      </c>
      <c r="R72" s="47">
        <v>1208.04</v>
      </c>
      <c r="S72" s="5"/>
      <c r="T72" s="47">
        <v>8.59</v>
      </c>
      <c r="U72" s="5"/>
      <c r="V72" s="26">
        <f t="shared" si="206"/>
        <v>1494662.5033494702</v>
      </c>
      <c r="W72" s="16">
        <f t="shared" si="207"/>
        <v>0.16087068435096644</v>
      </c>
      <c r="X72" s="16">
        <f t="shared" si="193"/>
        <v>59.763204517375144</v>
      </c>
      <c r="Y72" s="16">
        <f t="shared" si="208"/>
        <v>0.40108687880678223</v>
      </c>
      <c r="Z72" s="16">
        <f t="shared" si="209"/>
        <v>2.4932254153388436</v>
      </c>
      <c r="AA72" s="16">
        <f t="shared" si="210"/>
        <v>311.33318553483497</v>
      </c>
      <c r="AB72" s="16">
        <f t="shared" si="211"/>
        <v>3.2119929595109298E-3</v>
      </c>
      <c r="AC72" s="16">
        <f t="shared" si="212"/>
        <v>5.6674447147819003E-2</v>
      </c>
      <c r="AD72" s="16">
        <f t="shared" si="213"/>
        <v>5.6670260252263335E-2</v>
      </c>
      <c r="AE72" s="16">
        <f t="shared" si="194"/>
        <v>59.758789436011689</v>
      </c>
      <c r="AF72" s="5">
        <f t="shared" si="195"/>
        <v>2.3545474047792485</v>
      </c>
      <c r="AG72" s="47">
        <v>540.74130000000002</v>
      </c>
      <c r="AH72" s="5"/>
      <c r="AI72" s="47">
        <v>3.772805</v>
      </c>
      <c r="AJ72" s="5"/>
      <c r="AK72" s="29">
        <f t="shared" si="214"/>
        <v>669038.89368104271</v>
      </c>
      <c r="AL72" s="14">
        <f t="shared" si="215"/>
        <v>0.3526400644459064</v>
      </c>
      <c r="AM72" s="14">
        <f t="shared" si="196"/>
        <v>151.72666988857193</v>
      </c>
      <c r="AN72" s="14">
        <f t="shared" si="216"/>
        <v>0.59383504817912725</v>
      </c>
      <c r="AO72" s="14">
        <f t="shared" si="217"/>
        <v>1.6839693161700271</v>
      </c>
      <c r="AP72" s="14">
        <f t="shared" si="218"/>
        <v>48.302467411235867</v>
      </c>
      <c r="AQ72" s="14">
        <f t="shared" si="219"/>
        <v>2.0702876138525901E-2</v>
      </c>
      <c r="AR72" s="14">
        <f t="shared" si="220"/>
        <v>0.14388494062453477</v>
      </c>
      <c r="AS72" s="14">
        <f t="shared" si="221"/>
        <v>0.14387862296045947</v>
      </c>
      <c r="AT72" s="14">
        <f t="shared" si="197"/>
        <v>151.72000791180452</v>
      </c>
      <c r="AU72" s="14"/>
      <c r="AV72" s="14">
        <v>1512.7239999999999</v>
      </c>
      <c r="AX72" s="1">
        <v>17.520444656820381</v>
      </c>
    </row>
    <row r="73" spans="1:60" x14ac:dyDescent="0.2">
      <c r="A73" s="1" t="s">
        <v>97</v>
      </c>
      <c r="B73" s="24">
        <f t="shared" ref="B73:B80" si="222">(C73/3600)/(PI()*(H$5/1000/2)^2)</f>
        <v>0</v>
      </c>
      <c r="C73" s="47"/>
      <c r="D73" s="5"/>
      <c r="E73" s="47"/>
      <c r="F73" s="28"/>
      <c r="G73" s="26">
        <f t="shared" ref="G73:G80" si="223">B73*$H$5/1000/$BD$2</f>
        <v>0</v>
      </c>
      <c r="H73" s="5" t="e">
        <f t="shared" ref="H73:H80" si="224">(E73/$BA$2*($H$5/1000)*2*$BA$2)/((B73^2)*$AZ$2)</f>
        <v>#DIV/0!</v>
      </c>
      <c r="I73" s="5" t="e">
        <f t="shared" ref="I73:I80" si="225">((3.7^2)/(10^(1/(H73^0.5))))^0.5*$H$5</f>
        <v>#DIV/0!</v>
      </c>
      <c r="J73" s="5" t="e">
        <f t="shared" ref="J73:J80" si="226">H73^0.5</f>
        <v>#DIV/0!</v>
      </c>
      <c r="K73" s="5" t="e">
        <f t="shared" ref="K73:K80" si="227">1/J73</f>
        <v>#DIV/0!</v>
      </c>
      <c r="L73" s="5" t="e">
        <f t="shared" ref="L73:L80" si="228">10^K73</f>
        <v>#DIV/0!</v>
      </c>
      <c r="M73" s="5" t="e">
        <f t="shared" ref="M73:M80" si="229">1/L73</f>
        <v>#DIV/0!</v>
      </c>
      <c r="N73" s="5" t="e">
        <f t="shared" ref="N73:N80" si="230">M73^0.5</f>
        <v>#DIV/0!</v>
      </c>
      <c r="O73" s="5" t="e">
        <f t="shared" ref="O73:O80" si="231">N73-(2.51/(G73*J73))</f>
        <v>#DIV/0!</v>
      </c>
      <c r="P73" s="5" t="e">
        <f t="shared" ref="P73:P80" si="232">O73*3.7*$H$5</f>
        <v>#DIV/0!</v>
      </c>
      <c r="Q73" s="5">
        <f t="shared" ref="Q73:Q80" si="233">(R73/3600)/(PI()*($H$5/1000/2)^2)</f>
        <v>5.2601631258228725</v>
      </c>
      <c r="R73" s="47">
        <v>1208.04</v>
      </c>
      <c r="S73" s="5"/>
      <c r="T73" s="47">
        <v>8.59</v>
      </c>
      <c r="U73" s="5"/>
      <c r="V73" s="26">
        <f t="shared" ref="V73:V80" si="234">Q73*$H$5/1000/$BD$2</f>
        <v>1494662.5033494702</v>
      </c>
      <c r="W73" s="16">
        <f t="shared" ref="W73:W80" si="235">(T73/$BA$2*($H$5/1000)*2*$BA$2)/((Q73^2)*$AZ$2)</f>
        <v>0.16087068435096644</v>
      </c>
      <c r="X73" s="16">
        <f t="shared" ref="X73:X80" si="236">((3.7^2)/(10^(1/(W73^0.5))))^0.5*$H$5</f>
        <v>59.763204517375144</v>
      </c>
      <c r="Y73" s="16">
        <f t="shared" ref="Y73:Y80" si="237">W73^0.5</f>
        <v>0.40108687880678223</v>
      </c>
      <c r="Z73" s="16">
        <f t="shared" ref="Z73:Z80" si="238">1/Y73</f>
        <v>2.4932254153388436</v>
      </c>
      <c r="AA73" s="16">
        <f t="shared" ref="AA73:AA80" si="239">10^Z73</f>
        <v>311.33318553483497</v>
      </c>
      <c r="AB73" s="16">
        <f t="shared" ref="AB73:AB80" si="240">1/AA73</f>
        <v>3.2119929595109298E-3</v>
      </c>
      <c r="AC73" s="16">
        <f t="shared" ref="AC73:AC80" si="241">AB73^0.5</f>
        <v>5.6674447147819003E-2</v>
      </c>
      <c r="AD73" s="16">
        <f t="shared" ref="AD73:AD80" si="242">AC73-(2.51/(V73*Y73))</f>
        <v>5.6670260252263335E-2</v>
      </c>
      <c r="AE73" s="16">
        <f t="shared" ref="AE73:AE80" si="243">AD73*3.7*$H$5</f>
        <v>59.758789436011689</v>
      </c>
      <c r="AF73" s="5">
        <f t="shared" ref="AF73:AF81" si="244">(AG73/3600)/(PI()*($H$5/1000/2)^2)</f>
        <v>3.0174379481370512</v>
      </c>
      <c r="AG73" s="47">
        <v>692.9796</v>
      </c>
      <c r="AH73" s="5"/>
      <c r="AI73" s="47">
        <v>6.8034396275644253</v>
      </c>
      <c r="AJ73" s="5"/>
      <c r="AK73" s="29">
        <f t="shared" ref="AK73:AK80" si="245">AF73*$H$5/1000/$BD$2</f>
        <v>857397.62235200359</v>
      </c>
      <c r="AL73" s="14">
        <f t="shared" ref="AL73:AL80" si="246">(AI73/$BA$2*($H$5/1000)*2*$BA$2)/((AF73^2)*$AZ$2)</f>
        <v>0.38719880662757861</v>
      </c>
      <c r="AM73" s="14">
        <f t="shared" ref="AM73:AM80" si="247">((3.7^2)/(10^(1/(AL73^0.5))))^0.5*$H$5</f>
        <v>165.77342585358068</v>
      </c>
      <c r="AN73" s="14">
        <f t="shared" ref="AN73:AN80" si="248">AL73^0.5</f>
        <v>0.62225300853236432</v>
      </c>
      <c r="AO73" s="14">
        <f t="shared" ref="AO73:AO80" si="249">1/AN73</f>
        <v>1.6070633428652816</v>
      </c>
      <c r="AP73" s="14">
        <f t="shared" ref="AP73:AP80" si="250">10^AO73</f>
        <v>40.463490434034163</v>
      </c>
      <c r="AQ73" s="14">
        <f t="shared" ref="AQ73:AQ80" si="251">1/AP73</f>
        <v>2.4713636645614042E-2</v>
      </c>
      <c r="AR73" s="14">
        <f t="shared" ref="AR73:AR80" si="252">AQ73^0.5</f>
        <v>0.15720571441781003</v>
      </c>
      <c r="AS73" s="14">
        <f t="shared" ref="AS73:AS80" si="253">AR73-(2.51/(AK73*AN73))</f>
        <v>0.15720100979898974</v>
      </c>
      <c r="AT73" s="14">
        <f t="shared" ref="AT73:AT80" si="254">AS73*3.7*$H$5</f>
        <v>165.7684648330347</v>
      </c>
      <c r="AU73" s="14"/>
      <c r="AV73" s="14"/>
    </row>
    <row r="74" spans="1:60" x14ac:dyDescent="0.2">
      <c r="B74" s="24">
        <f t="shared" si="222"/>
        <v>0</v>
      </c>
      <c r="C74" s="47"/>
      <c r="D74" s="5"/>
      <c r="E74" s="47"/>
      <c r="F74" s="28"/>
      <c r="G74" s="26">
        <f t="shared" si="223"/>
        <v>0</v>
      </c>
      <c r="H74" s="5" t="e">
        <f t="shared" si="224"/>
        <v>#DIV/0!</v>
      </c>
      <c r="I74" s="5" t="e">
        <f t="shared" si="225"/>
        <v>#DIV/0!</v>
      </c>
      <c r="J74" s="5" t="e">
        <f t="shared" si="226"/>
        <v>#DIV/0!</v>
      </c>
      <c r="K74" s="5" t="e">
        <f t="shared" si="227"/>
        <v>#DIV/0!</v>
      </c>
      <c r="L74" s="5" t="e">
        <f t="shared" si="228"/>
        <v>#DIV/0!</v>
      </c>
      <c r="M74" s="5" t="e">
        <f t="shared" si="229"/>
        <v>#DIV/0!</v>
      </c>
      <c r="N74" s="5" t="e">
        <f t="shared" si="230"/>
        <v>#DIV/0!</v>
      </c>
      <c r="O74" s="5" t="e">
        <f t="shared" si="231"/>
        <v>#DIV/0!</v>
      </c>
      <c r="P74" s="5" t="e">
        <f t="shared" si="232"/>
        <v>#DIV/0!</v>
      </c>
      <c r="Q74" s="5">
        <f t="shared" si="233"/>
        <v>6.5216460727303787</v>
      </c>
      <c r="R74" s="47">
        <v>1497.75</v>
      </c>
      <c r="S74" s="5"/>
      <c r="T74" s="47">
        <v>11.28</v>
      </c>
      <c r="U74" s="5"/>
      <c r="V74" s="26">
        <f t="shared" si="234"/>
        <v>1853109.8013241852</v>
      </c>
      <c r="W74" s="16">
        <f t="shared" si="235"/>
        <v>0.13742850368306356</v>
      </c>
      <c r="X74" s="16">
        <f t="shared" si="236"/>
        <v>47.238506290109001</v>
      </c>
      <c r="Y74" s="16">
        <f t="shared" si="237"/>
        <v>0.37071350620534932</v>
      </c>
      <c r="Z74" s="16">
        <f t="shared" si="238"/>
        <v>2.6975008551376329</v>
      </c>
      <c r="AA74" s="16">
        <f t="shared" si="239"/>
        <v>498.31143715832093</v>
      </c>
      <c r="AB74" s="16">
        <f t="shared" si="240"/>
        <v>2.0067771386155947E-3</v>
      </c>
      <c r="AC74" s="16">
        <f t="shared" si="241"/>
        <v>4.4797066183128495E-2</v>
      </c>
      <c r="AD74" s="16">
        <f t="shared" si="242"/>
        <v>4.479341247240852E-2</v>
      </c>
      <c r="AE74" s="16">
        <f t="shared" si="243"/>
        <v>47.234653452154788</v>
      </c>
      <c r="AF74" s="5">
        <f t="shared" si="244"/>
        <v>3.0174379481370512</v>
      </c>
      <c r="AG74" s="47">
        <v>692.9796</v>
      </c>
      <c r="AH74" s="5"/>
      <c r="AI74" s="47">
        <v>6.8034396275644253</v>
      </c>
      <c r="AJ74" s="5"/>
      <c r="AK74" s="29">
        <f t="shared" si="245"/>
        <v>857397.62235200359</v>
      </c>
      <c r="AL74" s="14">
        <f t="shared" si="246"/>
        <v>0.38719880662757861</v>
      </c>
      <c r="AM74" s="14">
        <f t="shared" si="247"/>
        <v>165.77342585358068</v>
      </c>
      <c r="AN74" s="14">
        <f t="shared" si="248"/>
        <v>0.62225300853236432</v>
      </c>
      <c r="AO74" s="14">
        <f t="shared" si="249"/>
        <v>1.6070633428652816</v>
      </c>
      <c r="AP74" s="14">
        <f t="shared" si="250"/>
        <v>40.463490434034163</v>
      </c>
      <c r="AQ74" s="14">
        <f t="shared" si="251"/>
        <v>2.4713636645614042E-2</v>
      </c>
      <c r="AR74" s="14">
        <f t="shared" si="252"/>
        <v>0.15720571441781003</v>
      </c>
      <c r="AS74" s="14">
        <f t="shared" si="253"/>
        <v>0.15720100979898974</v>
      </c>
      <c r="AT74" s="14">
        <f t="shared" si="254"/>
        <v>165.7684648330347</v>
      </c>
      <c r="AU74" s="14"/>
      <c r="AV74" s="14"/>
    </row>
    <row r="75" spans="1:60" x14ac:dyDescent="0.2">
      <c r="B75" s="24">
        <f t="shared" si="222"/>
        <v>0</v>
      </c>
      <c r="C75" s="47"/>
      <c r="D75" s="5"/>
      <c r="E75" s="47"/>
      <c r="F75" s="28"/>
      <c r="G75" s="26">
        <f t="shared" si="223"/>
        <v>0</v>
      </c>
      <c r="H75" s="5" t="e">
        <f t="shared" si="224"/>
        <v>#DIV/0!</v>
      </c>
      <c r="I75" s="5" t="e">
        <f t="shared" si="225"/>
        <v>#DIV/0!</v>
      </c>
      <c r="J75" s="5" t="e">
        <f t="shared" si="226"/>
        <v>#DIV/0!</v>
      </c>
      <c r="K75" s="5" t="e">
        <f t="shared" si="227"/>
        <v>#DIV/0!</v>
      </c>
      <c r="L75" s="5" t="e">
        <f t="shared" si="228"/>
        <v>#DIV/0!</v>
      </c>
      <c r="M75" s="5" t="e">
        <f t="shared" si="229"/>
        <v>#DIV/0!</v>
      </c>
      <c r="N75" s="5" t="e">
        <f t="shared" si="230"/>
        <v>#DIV/0!</v>
      </c>
      <c r="O75" s="5" t="e">
        <f t="shared" si="231"/>
        <v>#DIV/0!</v>
      </c>
      <c r="P75" s="5" t="e">
        <f t="shared" si="232"/>
        <v>#DIV/0!</v>
      </c>
      <c r="Q75" s="5">
        <f t="shared" si="233"/>
        <v>6.5216460727303787</v>
      </c>
      <c r="R75" s="47">
        <v>1497.75</v>
      </c>
      <c r="S75" s="5"/>
      <c r="T75" s="47">
        <v>11.28</v>
      </c>
      <c r="U75" s="5"/>
      <c r="V75" s="26">
        <f t="shared" si="234"/>
        <v>1853109.8013241852</v>
      </c>
      <c r="W75" s="16">
        <f t="shared" si="235"/>
        <v>0.13742850368306356</v>
      </c>
      <c r="X75" s="16">
        <f t="shared" si="236"/>
        <v>47.238506290109001</v>
      </c>
      <c r="Y75" s="16">
        <f t="shared" si="237"/>
        <v>0.37071350620534932</v>
      </c>
      <c r="Z75" s="16">
        <f t="shared" si="238"/>
        <v>2.6975008551376329</v>
      </c>
      <c r="AA75" s="16">
        <f t="shared" si="239"/>
        <v>498.31143715832093</v>
      </c>
      <c r="AB75" s="16">
        <f t="shared" si="240"/>
        <v>2.0067771386155947E-3</v>
      </c>
      <c r="AC75" s="16">
        <f t="shared" si="241"/>
        <v>4.4797066183128495E-2</v>
      </c>
      <c r="AD75" s="16">
        <f t="shared" si="242"/>
        <v>4.479341247240852E-2</v>
      </c>
      <c r="AE75" s="16">
        <f t="shared" si="243"/>
        <v>47.234653452154788</v>
      </c>
      <c r="AF75" s="5">
        <f t="shared" si="244"/>
        <v>3.9221155532775294</v>
      </c>
      <c r="AG75" s="47">
        <v>900.74630000000002</v>
      </c>
      <c r="AH75" s="5"/>
      <c r="AI75" s="47">
        <v>8.2257200795421497</v>
      </c>
      <c r="AJ75" s="5"/>
      <c r="AK75" s="29">
        <f t="shared" si="245"/>
        <v>1114459.55402203</v>
      </c>
      <c r="AL75" s="14">
        <f t="shared" si="246"/>
        <v>0.27708647487664417</v>
      </c>
      <c r="AM75" s="14">
        <f t="shared" si="247"/>
        <v>118.35335908471654</v>
      </c>
      <c r="AN75" s="14">
        <f t="shared" si="248"/>
        <v>0.52639004063208128</v>
      </c>
      <c r="AO75" s="14">
        <f t="shared" si="249"/>
        <v>1.8997319911281281</v>
      </c>
      <c r="AP75" s="14">
        <f t="shared" si="250"/>
        <v>79.383819547956207</v>
      </c>
      <c r="AQ75" s="14">
        <f t="shared" si="251"/>
        <v>1.2597025510921586E-2</v>
      </c>
      <c r="AR75" s="14">
        <f t="shared" si="252"/>
        <v>0.11223647139375678</v>
      </c>
      <c r="AS75" s="14">
        <f t="shared" si="253"/>
        <v>0.11223219279317363</v>
      </c>
      <c r="AT75" s="14">
        <f t="shared" si="254"/>
        <v>118.3488473004016</v>
      </c>
      <c r="AU75" s="14"/>
      <c r="AV75" s="14"/>
    </row>
    <row r="76" spans="1:60" x14ac:dyDescent="0.2">
      <c r="B76" s="24">
        <f t="shared" si="222"/>
        <v>0</v>
      </c>
      <c r="C76" s="47"/>
      <c r="D76" s="5"/>
      <c r="E76" s="47"/>
      <c r="F76" s="28"/>
      <c r="G76" s="26">
        <f t="shared" si="223"/>
        <v>0</v>
      </c>
      <c r="H76" s="5" t="e">
        <f t="shared" si="224"/>
        <v>#DIV/0!</v>
      </c>
      <c r="I76" s="5" t="e">
        <f t="shared" si="225"/>
        <v>#DIV/0!</v>
      </c>
      <c r="J76" s="5" t="e">
        <f t="shared" si="226"/>
        <v>#DIV/0!</v>
      </c>
      <c r="K76" s="5" t="e">
        <f t="shared" si="227"/>
        <v>#DIV/0!</v>
      </c>
      <c r="L76" s="5" t="e">
        <f t="shared" si="228"/>
        <v>#DIV/0!</v>
      </c>
      <c r="M76" s="5" t="e">
        <f t="shared" si="229"/>
        <v>#DIV/0!</v>
      </c>
      <c r="N76" s="5" t="e">
        <f t="shared" si="230"/>
        <v>#DIV/0!</v>
      </c>
      <c r="O76" s="5" t="e">
        <f t="shared" si="231"/>
        <v>#DIV/0!</v>
      </c>
      <c r="P76" s="5" t="e">
        <f t="shared" si="232"/>
        <v>#DIV/0!</v>
      </c>
      <c r="Q76" s="5">
        <f t="shared" si="233"/>
        <v>7.8508818574891182</v>
      </c>
      <c r="R76" s="47">
        <v>1803.02</v>
      </c>
      <c r="S76" s="5"/>
      <c r="T76" s="47">
        <v>14.67</v>
      </c>
      <c r="U76" s="5"/>
      <c r="V76" s="26">
        <f t="shared" si="234"/>
        <v>2230808.9026763695</v>
      </c>
      <c r="W76" s="16">
        <f t="shared" si="235"/>
        <v>0.12333189381629032</v>
      </c>
      <c r="X76" s="16">
        <f t="shared" si="236"/>
        <v>39.746718739337879</v>
      </c>
      <c r="Y76" s="16">
        <f t="shared" si="237"/>
        <v>0.35118640892877723</v>
      </c>
      <c r="Z76" s="16">
        <f t="shared" si="238"/>
        <v>2.8474906049191846</v>
      </c>
      <c r="AA76" s="16">
        <f t="shared" si="239"/>
        <v>703.86700103590431</v>
      </c>
      <c r="AB76" s="16">
        <f t="shared" si="240"/>
        <v>1.420722946988944E-3</v>
      </c>
      <c r="AC76" s="16">
        <f t="shared" si="241"/>
        <v>3.7692478652762332E-2</v>
      </c>
      <c r="AD76" s="16">
        <f t="shared" si="242"/>
        <v>3.7689274791862473E-2</v>
      </c>
      <c r="AE76" s="16">
        <f t="shared" si="243"/>
        <v>39.743340268018983</v>
      </c>
      <c r="AF76" s="5">
        <f t="shared" si="244"/>
        <v>3.9221155532775294</v>
      </c>
      <c r="AG76" s="47">
        <v>900.74630000000002</v>
      </c>
      <c r="AH76" s="5"/>
      <c r="AI76" s="47">
        <v>8.2257200795421497</v>
      </c>
      <c r="AJ76" s="5"/>
      <c r="AK76" s="29">
        <f t="shared" si="245"/>
        <v>1114459.55402203</v>
      </c>
      <c r="AL76" s="14">
        <f t="shared" si="246"/>
        <v>0.27708647487664417</v>
      </c>
      <c r="AM76" s="14">
        <f t="shared" si="247"/>
        <v>118.35335908471654</v>
      </c>
      <c r="AN76" s="14">
        <f t="shared" si="248"/>
        <v>0.52639004063208128</v>
      </c>
      <c r="AO76" s="14">
        <f t="shared" si="249"/>
        <v>1.8997319911281281</v>
      </c>
      <c r="AP76" s="14">
        <f t="shared" si="250"/>
        <v>79.383819547956207</v>
      </c>
      <c r="AQ76" s="14">
        <f t="shared" si="251"/>
        <v>1.2597025510921586E-2</v>
      </c>
      <c r="AR76" s="14">
        <f t="shared" si="252"/>
        <v>0.11223647139375678</v>
      </c>
      <c r="AS76" s="14">
        <f t="shared" si="253"/>
        <v>0.11223219279317363</v>
      </c>
      <c r="AT76" s="14">
        <f t="shared" si="254"/>
        <v>118.3488473004016</v>
      </c>
      <c r="AU76" s="14"/>
      <c r="AV76" s="14"/>
    </row>
    <row r="77" spans="1:60" x14ac:dyDescent="0.2">
      <c r="B77" s="24">
        <f t="shared" si="222"/>
        <v>0</v>
      </c>
      <c r="C77" s="47"/>
      <c r="D77" s="5"/>
      <c r="E77" s="47"/>
      <c r="F77" s="28"/>
      <c r="G77" s="26">
        <f t="shared" si="223"/>
        <v>0</v>
      </c>
      <c r="H77" s="5" t="e">
        <f t="shared" si="224"/>
        <v>#DIV/0!</v>
      </c>
      <c r="I77" s="5" t="e">
        <f t="shared" si="225"/>
        <v>#DIV/0!</v>
      </c>
      <c r="J77" s="5" t="e">
        <f t="shared" si="226"/>
        <v>#DIV/0!</v>
      </c>
      <c r="K77" s="5" t="e">
        <f t="shared" si="227"/>
        <v>#DIV/0!</v>
      </c>
      <c r="L77" s="5" t="e">
        <f t="shared" si="228"/>
        <v>#DIV/0!</v>
      </c>
      <c r="M77" s="5" t="e">
        <f t="shared" si="229"/>
        <v>#DIV/0!</v>
      </c>
      <c r="N77" s="5" t="e">
        <f t="shared" si="230"/>
        <v>#DIV/0!</v>
      </c>
      <c r="O77" s="5" t="e">
        <f t="shared" si="231"/>
        <v>#DIV/0!</v>
      </c>
      <c r="P77" s="5" t="e">
        <f t="shared" si="232"/>
        <v>#DIV/0!</v>
      </c>
      <c r="Q77" s="5">
        <f t="shared" si="233"/>
        <v>7.8508818574891182</v>
      </c>
      <c r="R77" s="47">
        <v>1803.02</v>
      </c>
      <c r="S77" s="5"/>
      <c r="T77" s="47">
        <v>14.67</v>
      </c>
      <c r="U77" s="5"/>
      <c r="V77" s="26">
        <f t="shared" si="234"/>
        <v>2230808.9026763695</v>
      </c>
      <c r="W77" s="16">
        <f t="shared" si="235"/>
        <v>0.12333189381629032</v>
      </c>
      <c r="X77" s="16">
        <f t="shared" si="236"/>
        <v>39.746718739337879</v>
      </c>
      <c r="Y77" s="16">
        <f t="shared" si="237"/>
        <v>0.35118640892877723</v>
      </c>
      <c r="Z77" s="16">
        <f t="shared" si="238"/>
        <v>2.8474906049191846</v>
      </c>
      <c r="AA77" s="16">
        <f t="shared" si="239"/>
        <v>703.86700103590431</v>
      </c>
      <c r="AB77" s="16">
        <f t="shared" si="240"/>
        <v>1.420722946988944E-3</v>
      </c>
      <c r="AC77" s="16">
        <f t="shared" si="241"/>
        <v>3.7692478652762332E-2</v>
      </c>
      <c r="AD77" s="16">
        <f t="shared" si="242"/>
        <v>3.7689274791862473E-2</v>
      </c>
      <c r="AE77" s="16">
        <f t="shared" si="243"/>
        <v>39.743340268018983</v>
      </c>
      <c r="AF77" s="5">
        <f t="shared" si="244"/>
        <v>5.2210049464657944</v>
      </c>
      <c r="AG77" s="47">
        <v>1199.047</v>
      </c>
      <c r="AH77" s="5"/>
      <c r="AI77" s="47">
        <v>12.185809491134403</v>
      </c>
      <c r="AJ77" s="5"/>
      <c r="AK77" s="29">
        <f t="shared" si="245"/>
        <v>1483535.8023357443</v>
      </c>
      <c r="AL77" s="14">
        <f t="shared" si="246"/>
        <v>0.23164788823132668</v>
      </c>
      <c r="AM77" s="14">
        <f t="shared" si="247"/>
        <v>96.42495342972019</v>
      </c>
      <c r="AN77" s="14">
        <f t="shared" si="248"/>
        <v>0.48129812822337742</v>
      </c>
      <c r="AO77" s="14">
        <f t="shared" si="249"/>
        <v>2.0777142925764416</v>
      </c>
      <c r="AP77" s="14">
        <f t="shared" si="250"/>
        <v>119.59534957246412</v>
      </c>
      <c r="AQ77" s="14">
        <f t="shared" si="251"/>
        <v>8.3615291361650249E-3</v>
      </c>
      <c r="AR77" s="14">
        <f t="shared" si="252"/>
        <v>9.1441397278065606E-2</v>
      </c>
      <c r="AS77" s="14">
        <f t="shared" si="253"/>
        <v>9.1437881985164587E-2</v>
      </c>
      <c r="AT77" s="14">
        <f t="shared" si="254"/>
        <v>96.42124655335607</v>
      </c>
      <c r="AU77" s="14"/>
      <c r="AV77" s="14"/>
    </row>
    <row r="78" spans="1:60" x14ac:dyDescent="0.2">
      <c r="B78" s="24">
        <f t="shared" si="222"/>
        <v>0</v>
      </c>
      <c r="C78" s="47"/>
      <c r="D78" s="5"/>
      <c r="E78" s="47"/>
      <c r="F78" s="28"/>
      <c r="G78" s="26">
        <f t="shared" si="223"/>
        <v>0</v>
      </c>
      <c r="H78" s="5" t="e">
        <f t="shared" si="224"/>
        <v>#DIV/0!</v>
      </c>
      <c r="I78" s="5" t="e">
        <f t="shared" si="225"/>
        <v>#DIV/0!</v>
      </c>
      <c r="J78" s="5" t="e">
        <f t="shared" si="226"/>
        <v>#DIV/0!</v>
      </c>
      <c r="K78" s="5" t="e">
        <f t="shared" si="227"/>
        <v>#DIV/0!</v>
      </c>
      <c r="L78" s="5" t="e">
        <f t="shared" si="228"/>
        <v>#DIV/0!</v>
      </c>
      <c r="M78" s="5" t="e">
        <f t="shared" si="229"/>
        <v>#DIV/0!</v>
      </c>
      <c r="N78" s="5" t="e">
        <f t="shared" si="230"/>
        <v>#DIV/0!</v>
      </c>
      <c r="O78" s="5" t="e">
        <f t="shared" si="231"/>
        <v>#DIV/0!</v>
      </c>
      <c r="P78" s="5" t="e">
        <f t="shared" si="232"/>
        <v>#DIV/0!</v>
      </c>
      <c r="Q78" s="5">
        <f t="shared" si="233"/>
        <v>0</v>
      </c>
      <c r="R78" s="47"/>
      <c r="S78" s="5"/>
      <c r="T78" s="47"/>
      <c r="U78" s="5"/>
      <c r="V78" s="26">
        <f t="shared" si="234"/>
        <v>0</v>
      </c>
      <c r="W78" s="16" t="e">
        <f t="shared" si="235"/>
        <v>#DIV/0!</v>
      </c>
      <c r="X78" s="16"/>
      <c r="Y78" s="16" t="e">
        <f t="shared" si="237"/>
        <v>#DIV/0!</v>
      </c>
      <c r="Z78" s="16" t="e">
        <f t="shared" si="238"/>
        <v>#DIV/0!</v>
      </c>
      <c r="AA78" s="16" t="e">
        <f t="shared" si="239"/>
        <v>#DIV/0!</v>
      </c>
      <c r="AB78" s="16" t="e">
        <f t="shared" si="240"/>
        <v>#DIV/0!</v>
      </c>
      <c r="AC78" s="16" t="e">
        <f t="shared" si="241"/>
        <v>#DIV/0!</v>
      </c>
      <c r="AD78" s="16" t="e">
        <f t="shared" si="242"/>
        <v>#DIV/0!</v>
      </c>
      <c r="AE78" s="16" t="e">
        <f t="shared" si="243"/>
        <v>#DIV/0!</v>
      </c>
      <c r="AF78" s="5">
        <f t="shared" si="244"/>
        <v>5.2210049464657944</v>
      </c>
      <c r="AG78" s="47">
        <v>1199.047</v>
      </c>
      <c r="AH78" s="5"/>
      <c r="AI78" s="47">
        <v>12.185809491134403</v>
      </c>
      <c r="AJ78" s="5"/>
      <c r="AK78" s="29">
        <f t="shared" si="245"/>
        <v>1483535.8023357443</v>
      </c>
      <c r="AL78" s="14">
        <f t="shared" si="246"/>
        <v>0.23164788823132668</v>
      </c>
      <c r="AM78" s="14">
        <f t="shared" si="247"/>
        <v>96.42495342972019</v>
      </c>
      <c r="AN78" s="14">
        <f t="shared" si="248"/>
        <v>0.48129812822337742</v>
      </c>
      <c r="AO78" s="14">
        <f t="shared" si="249"/>
        <v>2.0777142925764416</v>
      </c>
      <c r="AP78" s="14">
        <f t="shared" si="250"/>
        <v>119.59534957246412</v>
      </c>
      <c r="AQ78" s="14">
        <f t="shared" si="251"/>
        <v>8.3615291361650249E-3</v>
      </c>
      <c r="AR78" s="14">
        <f t="shared" si="252"/>
        <v>9.1441397278065606E-2</v>
      </c>
      <c r="AS78" s="14">
        <f t="shared" si="253"/>
        <v>9.1437881985164587E-2</v>
      </c>
      <c r="AT78" s="14">
        <f t="shared" si="254"/>
        <v>96.42124655335607</v>
      </c>
      <c r="AU78" s="14"/>
      <c r="AV78" s="14"/>
    </row>
    <row r="79" spans="1:60" x14ac:dyDescent="0.2">
      <c r="B79" s="24">
        <f t="shared" si="222"/>
        <v>0</v>
      </c>
      <c r="C79" s="47"/>
      <c r="D79" s="5"/>
      <c r="E79" s="47"/>
      <c r="F79" s="28"/>
      <c r="G79" s="26">
        <f t="shared" si="223"/>
        <v>0</v>
      </c>
      <c r="H79" s="5" t="e">
        <f t="shared" si="224"/>
        <v>#DIV/0!</v>
      </c>
      <c r="I79" s="5" t="e">
        <f t="shared" si="225"/>
        <v>#DIV/0!</v>
      </c>
      <c r="J79" s="5" t="e">
        <f t="shared" si="226"/>
        <v>#DIV/0!</v>
      </c>
      <c r="K79" s="5" t="e">
        <f t="shared" si="227"/>
        <v>#DIV/0!</v>
      </c>
      <c r="L79" s="5" t="e">
        <f t="shared" si="228"/>
        <v>#DIV/0!</v>
      </c>
      <c r="M79" s="5" t="e">
        <f t="shared" si="229"/>
        <v>#DIV/0!</v>
      </c>
      <c r="N79" s="5" t="e">
        <f t="shared" si="230"/>
        <v>#DIV/0!</v>
      </c>
      <c r="O79" s="5" t="e">
        <f t="shared" si="231"/>
        <v>#DIV/0!</v>
      </c>
      <c r="P79" s="5" t="e">
        <f t="shared" si="232"/>
        <v>#DIV/0!</v>
      </c>
      <c r="Q79" s="5">
        <f t="shared" si="233"/>
        <v>0</v>
      </c>
      <c r="R79" s="47"/>
      <c r="S79" s="5"/>
      <c r="T79" s="47"/>
      <c r="U79" s="5"/>
      <c r="V79" s="26">
        <f t="shared" si="234"/>
        <v>0</v>
      </c>
      <c r="W79" s="16" t="e">
        <f t="shared" si="235"/>
        <v>#DIV/0!</v>
      </c>
      <c r="X79" s="16"/>
      <c r="Y79" s="16" t="e">
        <f t="shared" si="237"/>
        <v>#DIV/0!</v>
      </c>
      <c r="Z79" s="16" t="e">
        <f t="shared" si="238"/>
        <v>#DIV/0!</v>
      </c>
      <c r="AA79" s="16" t="e">
        <f t="shared" si="239"/>
        <v>#DIV/0!</v>
      </c>
      <c r="AB79" s="16" t="e">
        <f t="shared" si="240"/>
        <v>#DIV/0!</v>
      </c>
      <c r="AC79" s="16" t="e">
        <f t="shared" si="241"/>
        <v>#DIV/0!</v>
      </c>
      <c r="AD79" s="16" t="e">
        <f t="shared" si="242"/>
        <v>#DIV/0!</v>
      </c>
      <c r="AE79" s="16" t="e">
        <f t="shared" si="243"/>
        <v>#DIV/0!</v>
      </c>
      <c r="AF79" s="5">
        <f t="shared" si="244"/>
        <v>6.5868472934234612</v>
      </c>
      <c r="AG79" s="47">
        <v>1512.7239999999999</v>
      </c>
      <c r="AH79" s="5"/>
      <c r="AI79" s="47">
        <v>17.520444656820381</v>
      </c>
      <c r="AJ79" s="5"/>
      <c r="AK79" s="29">
        <f t="shared" si="245"/>
        <v>1871636.5689189297</v>
      </c>
      <c r="AL79" s="14">
        <f t="shared" si="246"/>
        <v>0.20925319821482069</v>
      </c>
      <c r="AM79" s="14">
        <f t="shared" si="247"/>
        <v>85.116131620452535</v>
      </c>
      <c r="AN79" s="14">
        <f t="shared" si="248"/>
        <v>0.45744201623246272</v>
      </c>
      <c r="AO79" s="14">
        <f t="shared" si="249"/>
        <v>2.1860694132036622</v>
      </c>
      <c r="AP79" s="14">
        <f t="shared" si="250"/>
        <v>153.48622799393993</v>
      </c>
      <c r="AQ79" s="14">
        <f t="shared" si="251"/>
        <v>6.5152425274239119E-3</v>
      </c>
      <c r="AR79" s="14">
        <f t="shared" si="252"/>
        <v>8.071705227164773E-2</v>
      </c>
      <c r="AS79" s="14">
        <f t="shared" si="253"/>
        <v>8.0714120594463035E-2</v>
      </c>
      <c r="AT79" s="14">
        <f t="shared" si="254"/>
        <v>85.113040166861268</v>
      </c>
      <c r="AU79" s="14"/>
      <c r="AV79" s="14"/>
    </row>
    <row r="80" spans="1:60" x14ac:dyDescent="0.2">
      <c r="B80" s="24">
        <f t="shared" si="222"/>
        <v>0</v>
      </c>
      <c r="C80" s="47"/>
      <c r="D80" s="5"/>
      <c r="E80" s="47"/>
      <c r="F80" s="28"/>
      <c r="G80" s="26">
        <f t="shared" si="223"/>
        <v>0</v>
      </c>
      <c r="H80" s="5" t="e">
        <f t="shared" si="224"/>
        <v>#DIV/0!</v>
      </c>
      <c r="I80" s="5" t="e">
        <f t="shared" si="225"/>
        <v>#DIV/0!</v>
      </c>
      <c r="J80" s="5" t="e">
        <f t="shared" si="226"/>
        <v>#DIV/0!</v>
      </c>
      <c r="K80" s="5" t="e">
        <f t="shared" si="227"/>
        <v>#DIV/0!</v>
      </c>
      <c r="L80" s="5" t="e">
        <f t="shared" si="228"/>
        <v>#DIV/0!</v>
      </c>
      <c r="M80" s="5" t="e">
        <f t="shared" si="229"/>
        <v>#DIV/0!</v>
      </c>
      <c r="N80" s="5" t="e">
        <f t="shared" si="230"/>
        <v>#DIV/0!</v>
      </c>
      <c r="O80" s="5" t="e">
        <f t="shared" si="231"/>
        <v>#DIV/0!</v>
      </c>
      <c r="P80" s="5" t="e">
        <f t="shared" si="232"/>
        <v>#DIV/0!</v>
      </c>
      <c r="Q80" s="5">
        <f t="shared" si="233"/>
        <v>0</v>
      </c>
      <c r="R80" s="47"/>
      <c r="S80" s="5"/>
      <c r="T80" s="47"/>
      <c r="U80" s="5"/>
      <c r="V80" s="26">
        <f t="shared" si="234"/>
        <v>0</v>
      </c>
      <c r="W80" s="16" t="e">
        <f t="shared" si="235"/>
        <v>#DIV/0!</v>
      </c>
      <c r="X80" s="16"/>
      <c r="Y80" s="16" t="e">
        <f t="shared" si="237"/>
        <v>#DIV/0!</v>
      </c>
      <c r="Z80" s="16" t="e">
        <f t="shared" si="238"/>
        <v>#DIV/0!</v>
      </c>
      <c r="AA80" s="16" t="e">
        <f t="shared" si="239"/>
        <v>#DIV/0!</v>
      </c>
      <c r="AB80" s="16" t="e">
        <f t="shared" si="240"/>
        <v>#DIV/0!</v>
      </c>
      <c r="AC80" s="16" t="e">
        <f t="shared" si="241"/>
        <v>#DIV/0!</v>
      </c>
      <c r="AD80" s="16" t="e">
        <f t="shared" si="242"/>
        <v>#DIV/0!</v>
      </c>
      <c r="AE80" s="16" t="e">
        <f t="shared" si="243"/>
        <v>#DIV/0!</v>
      </c>
      <c r="AF80" s="5">
        <f t="shared" si="244"/>
        <v>6.5868472934234612</v>
      </c>
      <c r="AG80" s="47">
        <v>1512.7239999999999</v>
      </c>
      <c r="AH80" s="5"/>
      <c r="AI80" s="47">
        <v>17.520444656820381</v>
      </c>
      <c r="AJ80" s="5"/>
      <c r="AK80" s="29">
        <f t="shared" si="245"/>
        <v>1871636.5689189297</v>
      </c>
      <c r="AL80" s="14">
        <f t="shared" si="246"/>
        <v>0.20925319821482069</v>
      </c>
      <c r="AM80" s="14">
        <f t="shared" si="247"/>
        <v>85.116131620452535</v>
      </c>
      <c r="AN80" s="14">
        <f t="shared" si="248"/>
        <v>0.45744201623246272</v>
      </c>
      <c r="AO80" s="14">
        <f t="shared" si="249"/>
        <v>2.1860694132036622</v>
      </c>
      <c r="AP80" s="14">
        <f t="shared" si="250"/>
        <v>153.48622799393993</v>
      </c>
      <c r="AQ80" s="14">
        <f t="shared" si="251"/>
        <v>6.5152425274239119E-3</v>
      </c>
      <c r="AR80" s="14">
        <f t="shared" si="252"/>
        <v>8.071705227164773E-2</v>
      </c>
      <c r="AS80" s="14">
        <f t="shared" si="253"/>
        <v>8.0714120594463035E-2</v>
      </c>
      <c r="AT80" s="14">
        <f t="shared" si="254"/>
        <v>85.113040166861268</v>
      </c>
      <c r="AU80" s="14"/>
      <c r="AV80" s="14"/>
    </row>
    <row r="81" spans="2:48" x14ac:dyDescent="0.2">
      <c r="B81" s="24"/>
      <c r="C81" s="54"/>
      <c r="D81" s="14"/>
      <c r="E81" s="54"/>
      <c r="F81" s="55"/>
      <c r="G81" s="29"/>
      <c r="H81" s="14"/>
      <c r="I81" s="41" t="e">
        <f>AVERAGE(I74:I77)</f>
        <v>#DIV/0!</v>
      </c>
      <c r="J81" s="14"/>
      <c r="K81" s="14"/>
      <c r="L81" s="14"/>
      <c r="M81" s="14"/>
      <c r="N81" s="14"/>
      <c r="O81" s="14"/>
      <c r="P81" s="14"/>
      <c r="Q81" s="14"/>
      <c r="R81" s="54"/>
      <c r="S81" s="14"/>
      <c r="T81" s="54"/>
      <c r="U81" s="14"/>
      <c r="V81" s="29"/>
      <c r="W81" s="22"/>
      <c r="X81" s="22">
        <f>AVERAGE(X74:X77)</f>
        <v>43.492612514723447</v>
      </c>
      <c r="Y81" s="22"/>
      <c r="Z81" s="22"/>
      <c r="AA81" s="22"/>
      <c r="AB81" s="22"/>
      <c r="AC81" s="22"/>
      <c r="AD81" s="22"/>
      <c r="AE81" s="22"/>
      <c r="AF81" s="14">
        <f t="shared" si="244"/>
        <v>0</v>
      </c>
      <c r="AG81" s="54"/>
      <c r="AH81" s="14"/>
      <c r="AI81" s="54"/>
      <c r="AJ81" s="14"/>
      <c r="AK81" s="29"/>
      <c r="AL81" s="14"/>
      <c r="AM81" s="14"/>
      <c r="AN81" s="14"/>
      <c r="AO81" s="14"/>
      <c r="AP81" s="14"/>
      <c r="AQ81" s="14"/>
      <c r="AR81" s="14"/>
      <c r="AS81" s="14"/>
      <c r="AT81" s="14"/>
      <c r="AU81" s="14"/>
      <c r="AV81" s="14"/>
    </row>
    <row r="82" spans="2:48" x14ac:dyDescent="0.2">
      <c r="B82" s="24"/>
      <c r="C82" s="54"/>
      <c r="D82" s="14"/>
      <c r="E82" s="54"/>
      <c r="F82" s="55"/>
      <c r="G82" s="29"/>
      <c r="H82" s="14"/>
      <c r="I82" s="41" t="e">
        <f>STDEV(I74:I77)</f>
        <v>#DIV/0!</v>
      </c>
      <c r="J82" s="14"/>
      <c r="K82" s="14"/>
      <c r="L82" s="14"/>
      <c r="M82" s="14"/>
      <c r="N82" s="14"/>
      <c r="O82" s="14"/>
      <c r="P82" s="14"/>
      <c r="Q82" s="14"/>
      <c r="R82" s="54"/>
      <c r="S82" s="14"/>
      <c r="T82" s="54"/>
      <c r="U82" s="14"/>
      <c r="V82" s="29"/>
      <c r="W82" s="22"/>
      <c r="X82" s="22">
        <f>STDEV(X74:X77)</f>
        <v>4.3253855591491934</v>
      </c>
      <c r="Y82" s="22"/>
      <c r="Z82" s="22"/>
      <c r="AA82" s="22"/>
      <c r="AB82" s="22"/>
      <c r="AC82" s="22"/>
      <c r="AD82" s="22"/>
      <c r="AE82" s="22"/>
      <c r="AF82" s="14"/>
      <c r="AG82" s="54"/>
      <c r="AH82" s="14"/>
      <c r="AI82" s="54"/>
      <c r="AJ82" s="14"/>
      <c r="AK82" s="29"/>
      <c r="AL82" s="14"/>
      <c r="AM82" s="41">
        <f>AVERAGE(AM77:AM81)</f>
        <v>90.77054252508637</v>
      </c>
      <c r="AN82" s="14"/>
      <c r="AO82" s="14"/>
      <c r="AP82" s="14"/>
      <c r="AQ82" s="14"/>
      <c r="AR82" s="14"/>
      <c r="AS82" s="14"/>
      <c r="AT82" s="14"/>
      <c r="AU82" s="14"/>
      <c r="AV82" s="14"/>
    </row>
    <row r="83" spans="2:48" x14ac:dyDescent="0.2">
      <c r="B83" s="24"/>
      <c r="C83" s="54"/>
      <c r="D83" s="14"/>
      <c r="E83" s="54"/>
      <c r="F83" s="55"/>
      <c r="G83" s="2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54"/>
      <c r="S83" s="14"/>
      <c r="T83" s="54"/>
      <c r="U83" s="14"/>
      <c r="V83" s="29"/>
      <c r="W83" s="22"/>
      <c r="X83" s="22"/>
      <c r="Y83" s="22"/>
      <c r="Z83" s="22"/>
      <c r="AA83" s="22"/>
      <c r="AB83" s="22"/>
      <c r="AC83" s="22"/>
      <c r="AD83" s="22"/>
      <c r="AE83" s="22"/>
      <c r="AF83" s="14"/>
      <c r="AG83" s="54"/>
      <c r="AH83" s="14"/>
      <c r="AI83" s="54"/>
      <c r="AJ83" s="14"/>
      <c r="AK83" s="29"/>
      <c r="AL83" s="14"/>
      <c r="AM83" s="41">
        <f>STDEV(AM77:AM81)</f>
        <v>6.5291513157981917</v>
      </c>
      <c r="AN83" s="14"/>
      <c r="AO83" s="14"/>
      <c r="AP83" s="14"/>
      <c r="AQ83" s="14"/>
      <c r="AR83" s="14"/>
      <c r="AS83" s="14"/>
      <c r="AT83" s="14"/>
      <c r="AU83" s="14"/>
      <c r="AV83" s="14"/>
    </row>
    <row r="84" spans="2:48" x14ac:dyDescent="0.2">
      <c r="B84" s="24"/>
      <c r="C84" s="54"/>
      <c r="D84" s="14"/>
      <c r="E84" s="54"/>
      <c r="F84" s="55"/>
      <c r="G84" s="29"/>
      <c r="H84" s="14"/>
      <c r="I84" s="14"/>
      <c r="J84" s="14"/>
      <c r="K84" s="14"/>
      <c r="L84" s="14"/>
      <c r="M84" s="14"/>
      <c r="N84" s="14"/>
      <c r="O84" s="14"/>
      <c r="P84" s="14"/>
      <c r="Q84" s="14"/>
      <c r="R84" s="54"/>
      <c r="S84" s="14"/>
      <c r="T84" s="54"/>
      <c r="U84" s="14"/>
      <c r="V84" s="29"/>
      <c r="W84" s="22"/>
      <c r="X84" s="22"/>
      <c r="Y84" s="22"/>
      <c r="Z84" s="22"/>
      <c r="AA84" s="22"/>
      <c r="AB84" s="22"/>
      <c r="AC84" s="22"/>
      <c r="AD84" s="22"/>
      <c r="AE84" s="22"/>
      <c r="AF84" s="14"/>
      <c r="AG84" s="54"/>
      <c r="AH84" s="14"/>
      <c r="AI84" s="54"/>
      <c r="AJ84" s="14"/>
      <c r="AK84" s="29"/>
      <c r="AL84" s="14"/>
      <c r="AM84" s="14"/>
      <c r="AN84" s="14"/>
      <c r="AO84" s="14"/>
      <c r="AP84" s="14"/>
      <c r="AQ84" s="14"/>
      <c r="AR84" s="14"/>
      <c r="AS84" s="14"/>
      <c r="AT84" s="14"/>
      <c r="AU84" s="14"/>
      <c r="AV84" s="14"/>
    </row>
    <row r="85" spans="2:48" x14ac:dyDescent="0.2">
      <c r="B85" s="24"/>
      <c r="C85" s="54"/>
      <c r="D85" s="14"/>
      <c r="E85" s="54"/>
      <c r="F85" s="55"/>
      <c r="G85" s="2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54"/>
      <c r="S85" s="14"/>
      <c r="T85" s="54"/>
      <c r="U85" s="14"/>
      <c r="V85" s="29"/>
      <c r="W85" s="22"/>
      <c r="X85" s="22"/>
      <c r="Y85" s="22"/>
      <c r="Z85" s="22"/>
      <c r="AA85" s="22"/>
      <c r="AB85" s="22"/>
      <c r="AC85" s="22"/>
      <c r="AD85" s="22"/>
      <c r="AE85" s="22"/>
      <c r="AF85" s="14"/>
      <c r="AG85" s="54"/>
      <c r="AH85" s="14"/>
      <c r="AI85" s="54"/>
      <c r="AJ85" s="14"/>
      <c r="AK85" s="29"/>
      <c r="AL85" s="14"/>
      <c r="AM85" s="14"/>
      <c r="AN85" s="14"/>
      <c r="AO85" s="14"/>
      <c r="AP85" s="14"/>
      <c r="AQ85" s="14"/>
      <c r="AR85" s="14"/>
      <c r="AS85" s="14"/>
      <c r="AT85" s="14"/>
      <c r="AU85" s="14"/>
      <c r="AV85" s="14"/>
    </row>
    <row r="86" spans="2:48" x14ac:dyDescent="0.2">
      <c r="B86" s="24"/>
      <c r="C86" s="54"/>
      <c r="D86" s="14"/>
      <c r="E86" s="54"/>
      <c r="F86" s="55"/>
      <c r="G86" s="2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54"/>
      <c r="S86" s="14"/>
      <c r="T86" s="54"/>
      <c r="U86" s="14"/>
      <c r="V86" s="29"/>
      <c r="W86" s="22"/>
      <c r="X86" s="22"/>
      <c r="Y86" s="22"/>
      <c r="Z86" s="22"/>
      <c r="AA86" s="22"/>
      <c r="AB86" s="22"/>
      <c r="AC86" s="22"/>
      <c r="AD86" s="22"/>
      <c r="AE86" s="22"/>
      <c r="AF86" s="14"/>
      <c r="AG86" s="54"/>
      <c r="AH86" s="14"/>
      <c r="AI86" s="54"/>
      <c r="AJ86" s="14"/>
      <c r="AK86" s="29"/>
      <c r="AL86" s="14"/>
      <c r="AM86" s="14"/>
      <c r="AN86" s="14"/>
      <c r="AO86" s="14"/>
      <c r="AP86" s="14"/>
      <c r="AQ86" s="14"/>
      <c r="AR86" s="14"/>
      <c r="AS86" s="14"/>
      <c r="AT86" s="14"/>
      <c r="AU86" s="14"/>
      <c r="AV86" s="14"/>
    </row>
    <row r="87" spans="2:48" x14ac:dyDescent="0.2">
      <c r="B87" s="24"/>
      <c r="C87" s="54"/>
      <c r="D87" s="14"/>
      <c r="E87" s="54"/>
      <c r="F87" s="55"/>
      <c r="G87" s="2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54"/>
      <c r="S87" s="14"/>
      <c r="T87" s="54"/>
      <c r="U87" s="14"/>
      <c r="V87" s="29"/>
      <c r="W87" s="22"/>
      <c r="X87" s="22"/>
      <c r="Y87" s="22"/>
      <c r="Z87" s="22"/>
      <c r="AA87" s="22"/>
      <c r="AB87" s="22"/>
      <c r="AC87" s="22"/>
      <c r="AD87" s="22"/>
      <c r="AE87" s="22"/>
      <c r="AF87" s="14"/>
      <c r="AG87" s="54"/>
      <c r="AH87" s="14"/>
      <c r="AI87" s="54"/>
      <c r="AJ87" s="14"/>
      <c r="AK87" s="29"/>
      <c r="AL87" s="14"/>
      <c r="AM87" s="14"/>
      <c r="AN87" s="14"/>
      <c r="AO87" s="14"/>
      <c r="AP87" s="14"/>
      <c r="AQ87" s="14"/>
      <c r="AR87" s="14"/>
      <c r="AS87" s="14"/>
      <c r="AT87" s="14"/>
      <c r="AU87" s="14"/>
      <c r="AV87" s="14"/>
    </row>
    <row r="88" spans="2:48" x14ac:dyDescent="0.2">
      <c r="B88" s="24"/>
      <c r="C88" s="54"/>
      <c r="D88" s="14"/>
      <c r="E88" s="54"/>
      <c r="F88" s="55"/>
      <c r="G88" s="2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54"/>
      <c r="S88" s="14"/>
      <c r="T88" s="54"/>
      <c r="U88" s="14"/>
      <c r="V88" s="29"/>
      <c r="W88" s="22"/>
      <c r="X88" s="22"/>
      <c r="Y88" s="22"/>
      <c r="Z88" s="22"/>
      <c r="AA88" s="22"/>
      <c r="AB88" s="22"/>
      <c r="AC88" s="22"/>
      <c r="AD88" s="22"/>
      <c r="AE88" s="22"/>
      <c r="AF88" s="14"/>
      <c r="AG88" s="54"/>
      <c r="AH88" s="14"/>
      <c r="AI88" s="54"/>
      <c r="AJ88" s="14"/>
      <c r="AK88" s="29"/>
      <c r="AL88" s="14"/>
      <c r="AM88" s="14"/>
      <c r="AN88" s="14"/>
      <c r="AO88" s="14"/>
      <c r="AP88" s="14"/>
      <c r="AQ88" s="14"/>
      <c r="AR88" s="14"/>
      <c r="AS88" s="14"/>
      <c r="AT88" s="14"/>
      <c r="AU88" s="14"/>
      <c r="AV88" s="14"/>
    </row>
    <row r="89" spans="2:48" x14ac:dyDescent="0.2">
      <c r="B89" s="24"/>
      <c r="C89" s="54"/>
      <c r="D89" s="14"/>
      <c r="E89" s="54"/>
      <c r="F89" s="55"/>
      <c r="G89" s="2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54"/>
      <c r="S89" s="14"/>
      <c r="T89" s="54"/>
      <c r="U89" s="14"/>
      <c r="V89" s="29"/>
      <c r="W89" s="22"/>
      <c r="X89" s="22"/>
      <c r="Y89" s="22"/>
      <c r="Z89" s="22"/>
      <c r="AA89" s="22"/>
      <c r="AB89" s="22"/>
      <c r="AC89" s="22"/>
      <c r="AD89" s="22"/>
      <c r="AE89" s="22"/>
      <c r="AF89" s="14"/>
      <c r="AG89" s="54"/>
      <c r="AH89" s="14"/>
      <c r="AI89" s="54"/>
      <c r="AJ89" s="14"/>
      <c r="AK89" s="29"/>
      <c r="AL89" s="14"/>
      <c r="AM89" s="14"/>
      <c r="AN89" s="14"/>
      <c r="AO89" s="14"/>
      <c r="AP89" s="14"/>
      <c r="AQ89" s="14"/>
      <c r="AR89" s="14"/>
      <c r="AS89" s="14"/>
      <c r="AT89" s="14"/>
      <c r="AU89" s="14"/>
      <c r="AV89" s="14"/>
    </row>
    <row r="90" spans="2:48" x14ac:dyDescent="0.2">
      <c r="B90" s="24"/>
      <c r="C90" s="54"/>
      <c r="D90" s="14"/>
      <c r="E90" s="54"/>
      <c r="F90" s="55"/>
      <c r="G90" s="29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54"/>
      <c r="S90" s="14"/>
      <c r="T90" s="54"/>
      <c r="U90" s="14"/>
      <c r="V90" s="29"/>
      <c r="W90" s="22"/>
      <c r="X90" s="22"/>
      <c r="Y90" s="22"/>
      <c r="Z90" s="22"/>
      <c r="AA90" s="22"/>
      <c r="AB90" s="22"/>
      <c r="AC90" s="22"/>
      <c r="AD90" s="22"/>
      <c r="AE90" s="22"/>
      <c r="AF90" s="14"/>
      <c r="AG90" s="54"/>
      <c r="AH90" s="14"/>
      <c r="AI90" s="54"/>
      <c r="AJ90" s="14"/>
      <c r="AK90" s="29"/>
      <c r="AL90" s="14"/>
      <c r="AM90" s="14"/>
      <c r="AN90" s="14"/>
      <c r="AO90" s="14"/>
      <c r="AP90" s="14"/>
      <c r="AQ90" s="14"/>
      <c r="AR90" s="14"/>
      <c r="AS90" s="14"/>
      <c r="AT90" s="14"/>
      <c r="AU90" s="14"/>
      <c r="AV90" s="14"/>
    </row>
    <row r="91" spans="2:48" x14ac:dyDescent="0.2">
      <c r="B91" s="24"/>
      <c r="C91" s="54"/>
      <c r="D91" s="14"/>
      <c r="E91" s="54"/>
      <c r="F91" s="55"/>
      <c r="G91" s="2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54"/>
      <c r="S91" s="14"/>
      <c r="T91" s="54"/>
      <c r="U91" s="14"/>
      <c r="V91" s="29"/>
      <c r="W91" s="22"/>
      <c r="X91" s="22"/>
      <c r="Y91" s="22"/>
      <c r="Z91" s="22"/>
      <c r="AA91" s="22"/>
      <c r="AB91" s="22"/>
      <c r="AC91" s="22"/>
      <c r="AD91" s="22"/>
      <c r="AE91" s="22"/>
      <c r="AF91" s="14"/>
      <c r="AG91" s="54"/>
      <c r="AH91" s="14"/>
      <c r="AI91" s="54"/>
      <c r="AJ91" s="14"/>
      <c r="AK91" s="29"/>
      <c r="AL91" s="14"/>
      <c r="AM91" s="14"/>
      <c r="AN91" s="14"/>
      <c r="AO91" s="14"/>
      <c r="AP91" s="14"/>
      <c r="AQ91" s="14"/>
      <c r="AR91" s="14"/>
      <c r="AS91" s="14"/>
      <c r="AT91" s="14"/>
      <c r="AU91" s="14"/>
      <c r="AV91" s="14"/>
    </row>
    <row r="92" spans="2:48" x14ac:dyDescent="0.2">
      <c r="B92" s="24"/>
      <c r="C92" s="54"/>
      <c r="D92" s="14"/>
      <c r="E92" s="54"/>
      <c r="F92" s="55"/>
      <c r="G92" s="2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54"/>
      <c r="S92" s="14"/>
      <c r="T92" s="54"/>
      <c r="U92" s="14"/>
      <c r="V92" s="29"/>
      <c r="W92" s="22"/>
      <c r="X92" s="22"/>
      <c r="Y92" s="22"/>
      <c r="Z92" s="22"/>
      <c r="AA92" s="22"/>
      <c r="AB92" s="22"/>
      <c r="AC92" s="22"/>
      <c r="AD92" s="22"/>
      <c r="AE92" s="22"/>
      <c r="AF92" s="14"/>
      <c r="AG92" s="54"/>
      <c r="AH92" s="14"/>
      <c r="AI92" s="54"/>
      <c r="AJ92" s="14"/>
      <c r="AK92" s="29"/>
      <c r="AL92" s="14"/>
      <c r="AM92" s="14"/>
      <c r="AN92" s="14"/>
      <c r="AO92" s="14"/>
      <c r="AP92" s="14"/>
      <c r="AQ92" s="14"/>
      <c r="AR92" s="14"/>
      <c r="AS92" s="14"/>
      <c r="AT92" s="14"/>
      <c r="AU92" s="14"/>
      <c r="AV92" s="14"/>
    </row>
    <row r="93" spans="2:48" x14ac:dyDescent="0.2">
      <c r="B93" s="24"/>
      <c r="C93" s="54"/>
      <c r="D93" s="14"/>
      <c r="E93" s="54"/>
      <c r="F93" s="55"/>
      <c r="G93" s="29"/>
      <c r="H93" s="14"/>
      <c r="I93" s="14"/>
      <c r="J93" s="14"/>
      <c r="K93" s="14"/>
      <c r="L93" s="14"/>
      <c r="M93" s="14"/>
      <c r="N93" s="14"/>
      <c r="O93" s="14"/>
      <c r="P93" s="14"/>
      <c r="Q93" s="14"/>
      <c r="R93" s="54"/>
      <c r="S93" s="14"/>
      <c r="T93" s="54"/>
      <c r="U93" s="14"/>
      <c r="V93" s="29"/>
      <c r="W93" s="22"/>
      <c r="X93" s="22"/>
      <c r="Y93" s="22"/>
      <c r="Z93" s="22"/>
      <c r="AA93" s="22"/>
      <c r="AB93" s="22"/>
      <c r="AC93" s="22"/>
      <c r="AD93" s="22"/>
      <c r="AE93" s="22"/>
      <c r="AF93" s="14"/>
      <c r="AG93" s="54"/>
      <c r="AH93" s="14"/>
      <c r="AI93" s="54"/>
      <c r="AJ93" s="14"/>
      <c r="AK93" s="29"/>
      <c r="AL93" s="14"/>
      <c r="AM93" s="14"/>
      <c r="AN93" s="14"/>
      <c r="AO93" s="14"/>
      <c r="AP93" s="14"/>
      <c r="AQ93" s="14"/>
      <c r="AR93" s="14"/>
      <c r="AS93" s="14"/>
      <c r="AT93" s="14"/>
      <c r="AU93" s="14"/>
      <c r="AV93" s="14"/>
    </row>
    <row r="94" spans="2:48" x14ac:dyDescent="0.2">
      <c r="B94" s="24"/>
      <c r="C94" s="54"/>
      <c r="D94" s="14"/>
      <c r="E94" s="54"/>
      <c r="F94" s="55"/>
      <c r="G94" s="29"/>
      <c r="H94" s="14"/>
      <c r="I94" s="14"/>
      <c r="J94" s="14"/>
      <c r="K94" s="14"/>
      <c r="L94" s="14"/>
      <c r="M94" s="14"/>
      <c r="N94" s="14"/>
      <c r="O94" s="14"/>
      <c r="P94" s="14"/>
      <c r="Q94" s="14"/>
      <c r="R94" s="54"/>
      <c r="S94" s="14"/>
      <c r="T94" s="54"/>
      <c r="U94" s="14"/>
      <c r="V94" s="29"/>
      <c r="W94" s="22"/>
      <c r="X94" s="22"/>
      <c r="Y94" s="22"/>
      <c r="Z94" s="22"/>
      <c r="AA94" s="22"/>
      <c r="AB94" s="22"/>
      <c r="AC94" s="22"/>
      <c r="AD94" s="22"/>
      <c r="AE94" s="22"/>
      <c r="AF94" s="14"/>
      <c r="AG94" s="54"/>
      <c r="AH94" s="14"/>
      <c r="AI94" s="54"/>
      <c r="AJ94" s="14"/>
      <c r="AK94" s="29"/>
      <c r="AL94" s="14"/>
      <c r="AM94" s="14"/>
      <c r="AN94" s="14"/>
      <c r="AO94" s="14"/>
      <c r="AP94" s="14"/>
      <c r="AQ94" s="14"/>
      <c r="AR94" s="14"/>
      <c r="AS94" s="14"/>
      <c r="AT94" s="14"/>
      <c r="AU94" s="14"/>
      <c r="AV94" s="14"/>
    </row>
    <row r="95" spans="2:48" x14ac:dyDescent="0.2">
      <c r="B95" s="24"/>
      <c r="C95" s="54"/>
      <c r="D95" s="14"/>
      <c r="E95" s="54"/>
      <c r="F95" s="55"/>
      <c r="G95" s="2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54"/>
      <c r="S95" s="14"/>
      <c r="T95" s="54"/>
      <c r="U95" s="14"/>
      <c r="V95" s="29"/>
      <c r="W95" s="22"/>
      <c r="X95" s="22"/>
      <c r="Y95" s="22"/>
      <c r="Z95" s="22"/>
      <c r="AA95" s="22"/>
      <c r="AB95" s="22"/>
      <c r="AC95" s="22"/>
      <c r="AD95" s="22"/>
      <c r="AE95" s="22"/>
      <c r="AF95" s="14"/>
      <c r="AG95" s="54"/>
      <c r="AH95" s="14"/>
      <c r="AI95" s="54"/>
      <c r="AJ95" s="14"/>
      <c r="AK95" s="29"/>
      <c r="AL95" s="14"/>
      <c r="AM95" s="14"/>
      <c r="AN95" s="14"/>
      <c r="AO95" s="14"/>
      <c r="AP95" s="14"/>
      <c r="AQ95" s="14"/>
      <c r="AR95" s="14"/>
      <c r="AS95" s="14"/>
      <c r="AT95" s="14"/>
      <c r="AU95" s="14"/>
      <c r="AV95" s="14"/>
    </row>
    <row r="96" spans="2:48" x14ac:dyDescent="0.2">
      <c r="B96" s="24"/>
      <c r="C96" s="54"/>
      <c r="D96" s="14"/>
      <c r="E96" s="54"/>
      <c r="F96" s="55"/>
      <c r="G96" s="2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54"/>
      <c r="S96" s="14"/>
      <c r="T96" s="54"/>
      <c r="U96" s="14"/>
      <c r="V96" s="29"/>
      <c r="W96" s="22"/>
      <c r="X96" s="22"/>
      <c r="Y96" s="22"/>
      <c r="Z96" s="22"/>
      <c r="AA96" s="22"/>
      <c r="AB96" s="22"/>
      <c r="AC96" s="22"/>
      <c r="AD96" s="22"/>
      <c r="AE96" s="22"/>
      <c r="AF96" s="14"/>
      <c r="AG96" s="54"/>
      <c r="AH96" s="14"/>
      <c r="AI96" s="54"/>
      <c r="AJ96" s="14"/>
      <c r="AK96" s="29"/>
      <c r="AL96" s="14"/>
      <c r="AM96" s="14"/>
      <c r="AN96" s="14"/>
      <c r="AO96" s="14"/>
      <c r="AP96" s="14"/>
      <c r="AQ96" s="14"/>
      <c r="AR96" s="14"/>
      <c r="AS96" s="14"/>
      <c r="AT96" s="14"/>
      <c r="AU96" s="14"/>
      <c r="AV96" s="14"/>
    </row>
    <row r="97" spans="2:60" x14ac:dyDescent="0.2">
      <c r="B97" s="24"/>
      <c r="C97" s="54"/>
      <c r="D97" s="14"/>
      <c r="E97" s="54"/>
      <c r="F97" s="55"/>
      <c r="G97" s="2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54"/>
      <c r="S97" s="14"/>
      <c r="T97" s="54"/>
      <c r="U97" s="14"/>
      <c r="V97" s="29"/>
      <c r="W97" s="22"/>
      <c r="X97" s="22"/>
      <c r="Y97" s="22"/>
      <c r="Z97" s="22"/>
      <c r="AA97" s="22"/>
      <c r="AB97" s="22"/>
      <c r="AC97" s="22"/>
      <c r="AD97" s="22"/>
      <c r="AE97" s="22"/>
      <c r="AF97" s="14"/>
      <c r="AG97" s="54"/>
      <c r="AH97" s="14"/>
      <c r="AI97" s="54"/>
      <c r="AJ97" s="14"/>
      <c r="AK97" s="29"/>
      <c r="AL97" s="14"/>
      <c r="AM97" s="14"/>
      <c r="AN97" s="14"/>
      <c r="AO97" s="14"/>
      <c r="AP97" s="14"/>
      <c r="AQ97" s="14"/>
      <c r="AR97" s="14"/>
      <c r="AS97" s="14"/>
      <c r="AT97" s="14"/>
      <c r="AU97" s="14"/>
      <c r="AV97" s="14"/>
    </row>
    <row r="98" spans="2:60" x14ac:dyDescent="0.2">
      <c r="B98" s="24"/>
      <c r="C98" s="54"/>
      <c r="D98" s="14"/>
      <c r="E98" s="54"/>
      <c r="F98" s="55"/>
      <c r="G98" s="29"/>
      <c r="H98" s="14"/>
      <c r="I98" s="14"/>
      <c r="J98" s="14"/>
      <c r="K98" s="14"/>
      <c r="L98" s="14"/>
      <c r="M98" s="14"/>
      <c r="N98" s="14"/>
      <c r="O98" s="14"/>
      <c r="P98" s="14"/>
      <c r="Q98" s="14"/>
      <c r="R98" s="54"/>
      <c r="S98" s="14"/>
      <c r="T98" s="54"/>
      <c r="U98" s="14"/>
      <c r="V98" s="29"/>
      <c r="W98" s="22"/>
      <c r="X98" s="22"/>
      <c r="Y98" s="22"/>
      <c r="Z98" s="22"/>
      <c r="AA98" s="22"/>
      <c r="AB98" s="22"/>
      <c r="AC98" s="22"/>
      <c r="AD98" s="22"/>
      <c r="AE98" s="22"/>
      <c r="AF98" s="14"/>
      <c r="AG98" s="54"/>
      <c r="AH98" s="14"/>
      <c r="AI98" s="54"/>
      <c r="AJ98" s="14"/>
      <c r="AK98" s="29"/>
      <c r="AL98" s="14"/>
      <c r="AM98" s="14"/>
      <c r="AN98" s="14"/>
      <c r="AO98" s="14"/>
      <c r="AP98" s="14"/>
      <c r="AQ98" s="14"/>
      <c r="AR98" s="14"/>
      <c r="AS98" s="14"/>
      <c r="AT98" s="14"/>
      <c r="AU98" s="14"/>
      <c r="AV98" s="14"/>
    </row>
    <row r="99" spans="2:60" x14ac:dyDescent="0.2">
      <c r="B99" s="24"/>
      <c r="C99" s="54"/>
      <c r="D99" s="14"/>
      <c r="E99" s="54"/>
      <c r="F99" s="55"/>
      <c r="G99" s="29"/>
      <c r="H99" s="14"/>
      <c r="I99" s="14"/>
      <c r="J99" s="14"/>
      <c r="K99" s="14"/>
      <c r="L99" s="14"/>
      <c r="M99" s="14"/>
      <c r="N99" s="14"/>
      <c r="O99" s="14"/>
      <c r="P99" s="14"/>
      <c r="Q99" s="14"/>
      <c r="R99" s="54"/>
      <c r="S99" s="14"/>
      <c r="T99" s="54"/>
      <c r="U99" s="14"/>
      <c r="V99" s="29"/>
      <c r="W99" s="22"/>
      <c r="X99" s="22"/>
      <c r="Y99" s="22"/>
      <c r="Z99" s="22"/>
      <c r="AA99" s="22"/>
      <c r="AB99" s="22"/>
      <c r="AC99" s="22"/>
      <c r="AD99" s="22"/>
      <c r="AE99" s="22"/>
      <c r="AF99" s="14"/>
      <c r="AG99" s="54"/>
      <c r="AH99" s="14"/>
      <c r="AI99" s="54"/>
      <c r="AJ99" s="14"/>
      <c r="AK99" s="29"/>
      <c r="AL99" s="14"/>
      <c r="AM99" s="14"/>
      <c r="AN99" s="14"/>
      <c r="AO99" s="14"/>
      <c r="AP99" s="14"/>
      <c r="AQ99" s="14"/>
      <c r="AR99" s="14"/>
      <c r="AS99" s="14"/>
      <c r="AT99" s="14"/>
      <c r="AU99" s="14"/>
      <c r="AV99" s="14"/>
    </row>
    <row r="100" spans="2:60" x14ac:dyDescent="0.2">
      <c r="B100" s="24"/>
      <c r="C100" s="54"/>
      <c r="D100" s="14"/>
      <c r="E100" s="54"/>
      <c r="F100" s="55"/>
      <c r="G100" s="2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54"/>
      <c r="S100" s="14"/>
      <c r="T100" s="54"/>
      <c r="U100" s="14"/>
      <c r="V100" s="29"/>
      <c r="W100" s="22"/>
      <c r="X100" s="22"/>
      <c r="Y100" s="22"/>
      <c r="Z100" s="22"/>
      <c r="AA100" s="22"/>
      <c r="AB100" s="22"/>
      <c r="AC100" s="22"/>
      <c r="AD100" s="22"/>
      <c r="AE100" s="22"/>
      <c r="AF100" s="14"/>
      <c r="AG100" s="54"/>
      <c r="AH100" s="14"/>
      <c r="AI100" s="54"/>
      <c r="AJ100" s="14"/>
      <c r="AK100" s="29"/>
      <c r="AL100" s="14"/>
      <c r="AM100" s="14"/>
      <c r="AN100" s="14"/>
      <c r="AO100" s="14"/>
      <c r="AP100" s="14"/>
      <c r="AQ100" s="14"/>
      <c r="AR100" s="14"/>
      <c r="AS100" s="14"/>
      <c r="AT100" s="14"/>
      <c r="AU100" s="14"/>
      <c r="AV100" s="14"/>
    </row>
    <row r="101" spans="2:60" x14ac:dyDescent="0.2">
      <c r="B101" s="24"/>
      <c r="C101" s="54"/>
      <c r="D101" s="14"/>
      <c r="E101" s="54"/>
      <c r="F101" s="55"/>
      <c r="G101" s="2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54"/>
      <c r="S101" s="14"/>
      <c r="T101" s="54"/>
      <c r="U101" s="14"/>
      <c r="V101" s="29"/>
      <c r="W101" s="22"/>
      <c r="X101" s="22"/>
      <c r="Y101" s="22"/>
      <c r="Z101" s="22"/>
      <c r="AA101" s="22"/>
      <c r="AB101" s="22"/>
      <c r="AC101" s="22"/>
      <c r="AD101" s="22"/>
      <c r="AE101" s="22"/>
      <c r="AF101" s="14"/>
      <c r="AG101" s="54"/>
      <c r="AH101" s="14"/>
      <c r="AI101" s="54"/>
      <c r="AJ101" s="14"/>
      <c r="AK101" s="29"/>
      <c r="AL101" s="14"/>
      <c r="AM101" s="14"/>
      <c r="AN101" s="14"/>
      <c r="AO101" s="14"/>
      <c r="AP101" s="14"/>
      <c r="AQ101" s="14"/>
      <c r="AR101" s="14"/>
      <c r="AS101" s="14"/>
      <c r="AT101" s="14"/>
      <c r="AU101" s="14"/>
      <c r="AV101" s="14"/>
    </row>
    <row r="102" spans="2:60" s="23" customFormat="1" x14ac:dyDescent="0.2">
      <c r="B102" s="23">
        <f>AVERAGE(B63:B72)</f>
        <v>0</v>
      </c>
      <c r="C102" s="23" t="e">
        <f>AVERAGE(C63:C72)</f>
        <v>#DIV/0!</v>
      </c>
      <c r="I102" s="23" t="e">
        <f>AVERAGE(I63:I72)</f>
        <v>#DIV/0!</v>
      </c>
      <c r="P102" s="23" t="e">
        <f>AVERAGE(P63:P72)</f>
        <v>#DIV/0!</v>
      </c>
      <c r="Q102" s="23">
        <f>AVERAGE(Q63:Q72)</f>
        <v>2.5545693704939496</v>
      </c>
      <c r="X102" s="23">
        <f>AVERAGE(X63:X72)</f>
        <v>238.60499649290688</v>
      </c>
      <c r="AE102" s="23">
        <f>AVERAGE(AE63:AE72)</f>
        <v>238.59785397208503</v>
      </c>
      <c r="AF102" s="23">
        <f>AVERAGE(AF63:AF72)</f>
        <v>1.0233406351032932</v>
      </c>
      <c r="AM102" s="23">
        <f>AVERAGE(AM63:AM72)</f>
        <v>345.79610043682146</v>
      </c>
      <c r="AT102" s="23">
        <f>AVERAGE(AT63:AT72)</f>
        <v>345.78697304282986</v>
      </c>
      <c r="AY102" s="1"/>
      <c r="AZ102" s="1"/>
      <c r="BA102" s="1"/>
      <c r="BB102" s="1"/>
      <c r="BC102" s="1"/>
      <c r="BD102" s="1"/>
      <c r="BE102" s="1"/>
      <c r="BF102" s="1"/>
      <c r="BG102" s="1"/>
      <c r="BH102" s="1"/>
    </row>
    <row r="103" spans="2:60" s="23" customFormat="1" x14ac:dyDescent="0.2">
      <c r="B103" s="23">
        <f>STDEV(B63:B72)</f>
        <v>0</v>
      </c>
      <c r="C103" s="23" t="e">
        <f>STDEV(C63:C72)</f>
        <v>#DIV/0!</v>
      </c>
      <c r="I103" s="23" t="e">
        <f>STDEV(I63:I72)</f>
        <v>#DIV/0!</v>
      </c>
      <c r="P103" s="23" t="e">
        <f>STDEV(P63:P72)</f>
        <v>#DIV/0!</v>
      </c>
      <c r="Q103" s="23">
        <f>STDEV(Q63:Q72)</f>
        <v>1.6367498300146033</v>
      </c>
      <c r="X103" s="23">
        <f>STDEV(X63:X72)</f>
        <v>233.77033009213491</v>
      </c>
      <c r="AE103" s="23">
        <f>STDEV(AE63:AE72)</f>
        <v>233.76836586266322</v>
      </c>
      <c r="AF103" s="23">
        <f>STDEV(AF63:AF72)</f>
        <v>0.89162094209987419</v>
      </c>
      <c r="AM103" s="23">
        <f>STDEV(AM63:AM72)</f>
        <v>175.72688064814139</v>
      </c>
      <c r="AT103" s="23">
        <f>STDEV(AT63:AT72)</f>
        <v>175.72465770648031</v>
      </c>
      <c r="AY103" s="1"/>
      <c r="AZ103" s="1"/>
      <c r="BA103" s="1"/>
      <c r="BB103" s="1"/>
      <c r="BC103" s="1"/>
      <c r="BD103" s="1"/>
      <c r="BE103" s="1"/>
      <c r="BF103" s="1"/>
      <c r="BG103" s="1"/>
      <c r="BH103" s="1"/>
    </row>
  </sheetData>
  <mergeCells count="13">
    <mergeCell ref="C37:F37"/>
    <mergeCell ref="R37:U37"/>
    <mergeCell ref="AG37:AJ37"/>
    <mergeCell ref="C60:AJ60"/>
    <mergeCell ref="C61:F61"/>
    <mergeCell ref="R61:U61"/>
    <mergeCell ref="AG61:AJ61"/>
    <mergeCell ref="C36:AJ36"/>
    <mergeCell ref="C2:D2"/>
    <mergeCell ref="C9:AJ9"/>
    <mergeCell ref="C10:F10"/>
    <mergeCell ref="R10:U10"/>
    <mergeCell ref="AG10:AJ10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N1:O65"/>
  <sheetViews>
    <sheetView topLeftCell="A61" workbookViewId="0">
      <selection activeCell="O89" sqref="O89"/>
    </sheetView>
  </sheetViews>
  <sheetFormatPr baseColWidth="10" defaultRowHeight="15" x14ac:dyDescent="0.25"/>
  <cols>
    <col min="15" max="15" width="79.7109375" customWidth="1"/>
  </cols>
  <sheetData>
    <row r="1" spans="15:15" x14ac:dyDescent="0.25">
      <c r="O1" s="18" t="s">
        <v>53</v>
      </c>
    </row>
    <row r="9" spans="15:15" x14ac:dyDescent="0.25">
      <c r="O9" t="s">
        <v>54</v>
      </c>
    </row>
    <row r="11" spans="15:15" x14ac:dyDescent="0.25">
      <c r="O11" t="s">
        <v>55</v>
      </c>
    </row>
    <row r="13" spans="15:15" ht="74.25" customHeight="1" x14ac:dyDescent="0.25">
      <c r="O13" s="27" t="s">
        <v>92</v>
      </c>
    </row>
    <row r="14" spans="15:15" x14ac:dyDescent="0.25">
      <c r="O14" t="s">
        <v>63</v>
      </c>
    </row>
    <row r="20" spans="15:15" ht="17.25" x14ac:dyDescent="0.25">
      <c r="O20" s="43" t="s">
        <v>68</v>
      </c>
    </row>
    <row r="21" spans="15:15" ht="17.25" x14ac:dyDescent="0.25">
      <c r="O21" s="43" t="s">
        <v>69</v>
      </c>
    </row>
    <row r="22" spans="15:15" ht="17.25" x14ac:dyDescent="0.25">
      <c r="O22" s="43" t="s">
        <v>70</v>
      </c>
    </row>
    <row r="63" spans="14:15" x14ac:dyDescent="0.25">
      <c r="N63" t="s">
        <v>52</v>
      </c>
      <c r="O63">
        <v>1E-3</v>
      </c>
    </row>
    <row r="65" spans="14:15" x14ac:dyDescent="0.25">
      <c r="N65" t="s">
        <v>64</v>
      </c>
      <c r="O65">
        <f>1/O63^0.5</f>
        <v>31.622776601683796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3</vt:i4>
      </vt:variant>
      <vt:variant>
        <vt:lpstr>Gráficos</vt:lpstr>
      </vt:variant>
      <vt:variant>
        <vt:i4>2</vt:i4>
      </vt:variant>
    </vt:vector>
  </HeadingPairs>
  <TitlesOfParts>
    <vt:vector size="5" baseType="lpstr">
      <vt:lpstr>DATOS-TODOS</vt:lpstr>
      <vt:lpstr>DN300 PN10_Center III</vt:lpstr>
      <vt:lpstr>Teoría</vt:lpstr>
      <vt:lpstr>Graf Vel-Rug Abs DN300_C III</vt:lpstr>
      <vt:lpstr>Graf Hf-Rug AbsDN300_C III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NZ</cp:lastModifiedBy>
  <cp:lastPrinted>2023-11-15T11:29:45Z</cp:lastPrinted>
  <dcterms:created xsi:type="dcterms:W3CDTF">2023-04-25T08:58:26Z</dcterms:created>
  <dcterms:modified xsi:type="dcterms:W3CDTF">2023-11-15T14:46:53Z</dcterms:modified>
</cp:coreProperties>
</file>